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F:\CSTONEMA\a - current projects\tribal minor NSR\actions\bundle #2\permitting docs\final\final for web and docket\"/>
    </mc:Choice>
  </mc:AlternateContent>
  <bookViews>
    <workbookView xWindow="0" yWindow="0" windowWidth="17955" windowHeight="7935" activeTab="4"/>
  </bookViews>
  <sheets>
    <sheet name="Inputs" sheetId="1" r:id="rId1"/>
    <sheet name="Output" sheetId="4" r:id="rId2"/>
    <sheet name="Emission Factors" sheetId="2" r:id="rId3"/>
    <sheet name="Aux Heaters EFs" sheetId="5" r:id="rId4"/>
    <sheet name="Emissions" sheetId="3" r:id="rId5"/>
  </sheets>
  <externalReferences>
    <externalReference r:id="rId6"/>
  </externalReferenc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F14" i="1" l="1"/>
  <c r="F15" i="1"/>
  <c r="F16" i="1"/>
  <c r="B29" i="2" l="1"/>
  <c r="B24" i="2"/>
  <c r="B19" i="2"/>
  <c r="B17" i="2"/>
  <c r="D6" i="3"/>
  <c r="G6" i="3" s="1"/>
  <c r="B6" i="3"/>
  <c r="C6" i="3" s="1"/>
  <c r="D20" i="3"/>
  <c r="B20" i="3"/>
  <c r="C20" i="3" s="1"/>
  <c r="G20" i="3" s="1"/>
  <c r="C17" i="2"/>
  <c r="D35" i="3"/>
  <c r="B35" i="3"/>
  <c r="I35" i="3" s="1"/>
  <c r="D36" i="3"/>
  <c r="G36" i="3" s="1"/>
  <c r="B36" i="3"/>
  <c r="D34" i="3"/>
  <c r="B34" i="3"/>
  <c r="D33" i="3"/>
  <c r="G33" i="3" s="1"/>
  <c r="B33" i="3"/>
  <c r="D7" i="2"/>
  <c r="D17" i="2"/>
  <c r="G35" i="3"/>
  <c r="I17" i="5"/>
  <c r="E45" i="5" s="1"/>
  <c r="G37" i="3"/>
  <c r="E17" i="2"/>
  <c r="H37" i="3"/>
  <c r="F17" i="2"/>
  <c r="G17" i="2"/>
  <c r="H17" i="2"/>
  <c r="K37" i="3"/>
  <c r="E37" i="3"/>
  <c r="B37" i="3"/>
  <c r="B38" i="3"/>
  <c r="B39" i="3"/>
  <c r="B40" i="3"/>
  <c r="A34" i="3"/>
  <c r="A35" i="3"/>
  <c r="A36" i="3"/>
  <c r="A37" i="3"/>
  <c r="A38" i="3"/>
  <c r="A39" i="3"/>
  <c r="A40" i="3"/>
  <c r="A33" i="3"/>
  <c r="D37" i="3"/>
  <c r="F37" i="3" s="1"/>
  <c r="D38" i="3"/>
  <c r="D39" i="3"/>
  <c r="I39" i="3" s="1"/>
  <c r="D40" i="3"/>
  <c r="G40" i="3" s="1"/>
  <c r="E44" i="5"/>
  <c r="J45" i="5"/>
  <c r="I45" i="5"/>
  <c r="H45" i="5"/>
  <c r="G45" i="5"/>
  <c r="F45" i="5"/>
  <c r="D45" i="5"/>
  <c r="C45" i="5"/>
  <c r="I44" i="5"/>
  <c r="H44" i="5"/>
  <c r="G44" i="5"/>
  <c r="F44" i="5"/>
  <c r="D44" i="5"/>
  <c r="C44" i="5"/>
  <c r="J43" i="5"/>
  <c r="I43" i="5"/>
  <c r="H43" i="5"/>
  <c r="G43" i="5"/>
  <c r="F43" i="5"/>
  <c r="E43" i="5"/>
  <c r="D43" i="5"/>
  <c r="C43" i="5"/>
  <c r="I29" i="5"/>
  <c r="H32" i="5" s="1"/>
  <c r="H20" i="5"/>
  <c r="H31" i="2"/>
  <c r="H29" i="2"/>
  <c r="H28" i="2"/>
  <c r="H27" i="2"/>
  <c r="H26" i="2"/>
  <c r="H25" i="2"/>
  <c r="H24" i="2"/>
  <c r="H23" i="2"/>
  <c r="H22" i="2"/>
  <c r="H21" i="2"/>
  <c r="H19" i="2"/>
  <c r="H18" i="2"/>
  <c r="H16" i="2"/>
  <c r="G31" i="2"/>
  <c r="G29" i="2"/>
  <c r="G28" i="2"/>
  <c r="G27" i="2"/>
  <c r="G26" i="2"/>
  <c r="G25" i="2"/>
  <c r="G24" i="2"/>
  <c r="G23" i="2"/>
  <c r="G22" i="2"/>
  <c r="G21" i="2"/>
  <c r="G19" i="2"/>
  <c r="G18" i="2"/>
  <c r="G16" i="2"/>
  <c r="F31" i="2"/>
  <c r="F29" i="2"/>
  <c r="F28" i="2"/>
  <c r="F27" i="2"/>
  <c r="F26" i="2"/>
  <c r="F25" i="2"/>
  <c r="F24" i="2"/>
  <c r="F23" i="2"/>
  <c r="F22" i="2"/>
  <c r="F21" i="2"/>
  <c r="F19" i="2"/>
  <c r="F18" i="2"/>
  <c r="F16" i="2"/>
  <c r="E29" i="2"/>
  <c r="E28" i="2"/>
  <c r="E25" i="2"/>
  <c r="E24" i="2"/>
  <c r="E22" i="2"/>
  <c r="E21" i="2"/>
  <c r="E19" i="2"/>
  <c r="E18" i="2"/>
  <c r="E16" i="2"/>
  <c r="D31" i="2"/>
  <c r="D29" i="2"/>
  <c r="D28" i="2"/>
  <c r="D27" i="2"/>
  <c r="D26" i="2"/>
  <c r="D25" i="2"/>
  <c r="D24" i="2"/>
  <c r="D23" i="2"/>
  <c r="D22" i="2"/>
  <c r="D21" i="2"/>
  <c r="D19" i="2"/>
  <c r="D18" i="2"/>
  <c r="D16" i="2"/>
  <c r="C29" i="2"/>
  <c r="C28" i="2"/>
  <c r="C24" i="2"/>
  <c r="C22" i="2"/>
  <c r="C19" i="2"/>
  <c r="C18" i="2"/>
  <c r="C16" i="2"/>
  <c r="B28" i="2"/>
  <c r="B22" i="2"/>
  <c r="B18" i="2"/>
  <c r="B16" i="2"/>
  <c r="D10" i="3"/>
  <c r="D21" i="3"/>
  <c r="D22" i="3"/>
  <c r="D23" i="3"/>
  <c r="D24" i="3"/>
  <c r="D25" i="3"/>
  <c r="D26" i="3"/>
  <c r="D27" i="3"/>
  <c r="D28" i="3"/>
  <c r="H20" i="2"/>
  <c r="G20" i="2"/>
  <c r="F20" i="2"/>
  <c r="E20" i="2"/>
  <c r="D20" i="2"/>
  <c r="C20" i="2"/>
  <c r="B20" i="2"/>
  <c r="D8" i="2"/>
  <c r="D9" i="2"/>
  <c r="D10" i="2"/>
  <c r="D11" i="2"/>
  <c r="D12" i="2"/>
  <c r="D13" i="2"/>
  <c r="D14" i="2"/>
  <c r="D15" i="2"/>
  <c r="D6" i="2"/>
  <c r="D7" i="3"/>
  <c r="D8" i="3"/>
  <c r="D9" i="3"/>
  <c r="D11" i="3"/>
  <c r="D12" i="3"/>
  <c r="D13" i="3"/>
  <c r="D14" i="3"/>
  <c r="F14" i="3" s="1"/>
  <c r="D15" i="3"/>
  <c r="B7" i="3"/>
  <c r="C7" i="3" s="1"/>
  <c r="B8" i="3"/>
  <c r="C8" i="3" s="1"/>
  <c r="B9" i="3"/>
  <c r="C9" i="3" s="1"/>
  <c r="F9" i="3" s="1"/>
  <c r="B10" i="3"/>
  <c r="C10" i="3" s="1"/>
  <c r="B11" i="3"/>
  <c r="C11" i="3"/>
  <c r="B12" i="3"/>
  <c r="C12" i="3" s="1"/>
  <c r="B13" i="3"/>
  <c r="C13" i="3" s="1"/>
  <c r="B14" i="3"/>
  <c r="C14" i="3"/>
  <c r="B15" i="3"/>
  <c r="C15" i="3"/>
  <c r="K15" i="3" s="1"/>
  <c r="A7" i="3"/>
  <c r="A8" i="3"/>
  <c r="A9" i="3"/>
  <c r="A10" i="3"/>
  <c r="A11" i="3"/>
  <c r="A12" i="3"/>
  <c r="A13" i="3"/>
  <c r="A14" i="3"/>
  <c r="A15" i="3"/>
  <c r="A6" i="3"/>
  <c r="B21" i="3"/>
  <c r="C21" i="3"/>
  <c r="B22" i="3"/>
  <c r="C22" i="3"/>
  <c r="B23" i="3"/>
  <c r="C23" i="3"/>
  <c r="B24" i="3"/>
  <c r="C24" i="3"/>
  <c r="B25" i="3"/>
  <c r="C25" i="3"/>
  <c r="B26" i="3"/>
  <c r="C26" i="3"/>
  <c r="H26" i="3" s="1"/>
  <c r="B27" i="3"/>
  <c r="C27" i="3"/>
  <c r="B28" i="3"/>
  <c r="C28" i="3"/>
  <c r="A21" i="3"/>
  <c r="A22" i="3"/>
  <c r="A23" i="3"/>
  <c r="A24" i="3"/>
  <c r="A25" i="3"/>
  <c r="A26" i="3"/>
  <c r="A27" i="3"/>
  <c r="A28" i="3"/>
  <c r="A20" i="3"/>
  <c r="E31" i="2"/>
  <c r="B31" i="2"/>
  <c r="C31" i="2"/>
  <c r="E27" i="2"/>
  <c r="C27" i="2"/>
  <c r="B27" i="2"/>
  <c r="H30" i="2"/>
  <c r="G30" i="2"/>
  <c r="F30" i="2"/>
  <c r="E30" i="2"/>
  <c r="D30" i="2"/>
  <c r="B30" i="2"/>
  <c r="C30" i="2"/>
  <c r="E26" i="2"/>
  <c r="B26" i="2"/>
  <c r="C26" i="2"/>
  <c r="B25" i="2"/>
  <c r="C25" i="2"/>
  <c r="E23" i="2"/>
  <c r="B23" i="2"/>
  <c r="C23" i="2"/>
  <c r="E12" i="2"/>
  <c r="E11" i="2"/>
  <c r="E10" i="2"/>
  <c r="H15" i="2"/>
  <c r="G15" i="2"/>
  <c r="F15" i="2"/>
  <c r="E15" i="2"/>
  <c r="B15" i="2"/>
  <c r="C15" i="2"/>
  <c r="G27" i="3" l="1"/>
  <c r="J20" i="3"/>
  <c r="K28" i="3"/>
  <c r="F24" i="3"/>
  <c r="E14" i="3"/>
  <c r="E6" i="3"/>
  <c r="F33" i="3"/>
  <c r="J34" i="3"/>
  <c r="F35" i="3"/>
  <c r="F6" i="3"/>
  <c r="J33" i="3"/>
  <c r="I40" i="3"/>
  <c r="J10" i="3"/>
  <c r="E33" i="3"/>
  <c r="K33" i="3"/>
  <c r="I33" i="3"/>
  <c r="F40" i="3"/>
  <c r="F20" i="3"/>
  <c r="I11" i="3"/>
  <c r="K40" i="3"/>
  <c r="J37" i="3"/>
  <c r="J6" i="3"/>
  <c r="H40" i="3"/>
  <c r="H33" i="3"/>
  <c r="E36" i="3"/>
  <c r="E26" i="3"/>
  <c r="J26" i="3"/>
  <c r="G13" i="3"/>
  <c r="H8" i="3"/>
  <c r="H22" i="3"/>
  <c r="K14" i="3"/>
  <c r="E27" i="3"/>
  <c r="G10" i="3"/>
  <c r="G25" i="3"/>
  <c r="G21" i="3"/>
  <c r="K35" i="3"/>
  <c r="K8" i="3"/>
  <c r="H11" i="3"/>
  <c r="F28" i="3"/>
  <c r="F15" i="3"/>
  <c r="E40" i="3"/>
  <c r="E35" i="3"/>
  <c r="K39" i="3"/>
  <c r="K20" i="3"/>
  <c r="J40" i="3"/>
  <c r="J35" i="3"/>
  <c r="J15" i="3"/>
  <c r="I37" i="3"/>
  <c r="I8" i="3"/>
  <c r="H35" i="3"/>
  <c r="F39" i="3"/>
  <c r="K34" i="3"/>
  <c r="F12" i="3"/>
  <c r="G12" i="3"/>
  <c r="F7" i="3"/>
  <c r="G7" i="3"/>
  <c r="G38" i="3"/>
  <c r="H38" i="3"/>
  <c r="I38" i="3"/>
  <c r="J38" i="3"/>
  <c r="K38" i="3"/>
  <c r="F38" i="3"/>
  <c r="E12" i="3"/>
  <c r="E7" i="3"/>
  <c r="K25" i="3"/>
  <c r="J21" i="3"/>
  <c r="I25" i="3"/>
  <c r="G9" i="3"/>
  <c r="F11" i="3"/>
  <c r="E28" i="3"/>
  <c r="E24" i="3"/>
  <c r="E38" i="3"/>
  <c r="E25" i="3"/>
  <c r="E11" i="3"/>
  <c r="K24" i="3"/>
  <c r="K12" i="3"/>
  <c r="K7" i="3"/>
  <c r="J39" i="3"/>
  <c r="J25" i="3"/>
  <c r="J14" i="3"/>
  <c r="J8" i="3"/>
  <c r="I22" i="3"/>
  <c r="I15" i="3"/>
  <c r="I7" i="3"/>
  <c r="H25" i="3"/>
  <c r="G24" i="3"/>
  <c r="G14" i="3"/>
  <c r="F34" i="3"/>
  <c r="E34" i="3"/>
  <c r="G34" i="3"/>
  <c r="H34" i="3"/>
  <c r="I34" i="3"/>
  <c r="F25" i="3"/>
  <c r="F13" i="3"/>
  <c r="H6" i="3"/>
  <c r="I6" i="3"/>
  <c r="H14" i="3"/>
  <c r="I14" i="3"/>
  <c r="H9" i="3"/>
  <c r="I9" i="3"/>
  <c r="J9" i="3"/>
  <c r="K9" i="3"/>
  <c r="E9" i="3"/>
  <c r="H27" i="3"/>
  <c r="I27" i="3"/>
  <c r="J27" i="3"/>
  <c r="K27" i="3"/>
  <c r="F27" i="3"/>
  <c r="H23" i="3"/>
  <c r="I23" i="3"/>
  <c r="J23" i="3"/>
  <c r="K23" i="3"/>
  <c r="F23" i="3"/>
  <c r="H10" i="3"/>
  <c r="I10" i="3"/>
  <c r="E23" i="3"/>
  <c r="E15" i="3"/>
  <c r="E10" i="3"/>
  <c r="K22" i="3"/>
  <c r="K11" i="3"/>
  <c r="K6" i="3"/>
  <c r="J24" i="3"/>
  <c r="J12" i="3"/>
  <c r="J7" i="3"/>
  <c r="I21" i="3"/>
  <c r="I12" i="3"/>
  <c r="H15" i="3"/>
  <c r="H7" i="3"/>
  <c r="G23" i="3"/>
  <c r="F10" i="3"/>
  <c r="E21" i="3"/>
  <c r="H28" i="3"/>
  <c r="I28" i="3"/>
  <c r="H24" i="3"/>
  <c r="I24" i="3"/>
  <c r="H13" i="3"/>
  <c r="I13" i="3"/>
  <c r="J13" i="3"/>
  <c r="K13" i="3"/>
  <c r="E13" i="3"/>
  <c r="F8" i="3"/>
  <c r="G8" i="3"/>
  <c r="F26" i="3"/>
  <c r="G26" i="3"/>
  <c r="F22" i="3"/>
  <c r="G22" i="3"/>
  <c r="E39" i="3"/>
  <c r="G39" i="3"/>
  <c r="H39" i="3"/>
  <c r="E22" i="3"/>
  <c r="E8" i="3"/>
  <c r="K26" i="3"/>
  <c r="K21" i="3"/>
  <c r="K10" i="3"/>
  <c r="J28" i="3"/>
  <c r="J22" i="3"/>
  <c r="J11" i="3"/>
  <c r="I26" i="3"/>
  <c r="H21" i="3"/>
  <c r="H12" i="3"/>
  <c r="G28" i="3"/>
  <c r="H36" i="3"/>
  <c r="I36" i="3"/>
  <c r="J36" i="3"/>
  <c r="K36" i="3"/>
  <c r="F36" i="3"/>
  <c r="F21" i="3"/>
  <c r="E20" i="3"/>
  <c r="H20" i="3"/>
  <c r="I20" i="3"/>
  <c r="G15" i="3"/>
  <c r="G11" i="3"/>
  <c r="J41" i="3" l="1"/>
  <c r="G29" i="3"/>
  <c r="F29" i="3"/>
  <c r="K29" i="3"/>
  <c r="H29" i="3"/>
  <c r="K41" i="3"/>
  <c r="G16" i="3"/>
  <c r="F16" i="3"/>
  <c r="B6" i="4" s="1"/>
  <c r="G41" i="3"/>
  <c r="J29" i="3"/>
  <c r="H41" i="3"/>
  <c r="I41" i="3"/>
  <c r="F41" i="3"/>
  <c r="E29" i="3"/>
  <c r="K16" i="3"/>
  <c r="E41" i="3"/>
  <c r="E16" i="3"/>
  <c r="J16" i="3"/>
  <c r="I16" i="3"/>
  <c r="I29" i="3"/>
  <c r="H16" i="3"/>
  <c r="F6" i="4" l="1"/>
  <c r="C6" i="4"/>
  <c r="D6" i="4"/>
  <c r="A6" i="4"/>
  <c r="G6" i="4"/>
  <c r="E6" i="4"/>
</calcChain>
</file>

<file path=xl/sharedStrings.xml><?xml version="1.0" encoding="utf-8"?>
<sst xmlns="http://schemas.openxmlformats.org/spreadsheetml/2006/main" count="236" uniqueCount="132">
  <si>
    <t>CO</t>
  </si>
  <si>
    <t>NOX</t>
  </si>
  <si>
    <t>SO2</t>
  </si>
  <si>
    <t>VOC</t>
  </si>
  <si>
    <t>PM</t>
  </si>
  <si>
    <t>PM10</t>
  </si>
  <si>
    <t>PM2.5</t>
  </si>
  <si>
    <t>Engine Type</t>
  </si>
  <si>
    <t>Diesel - Non-Emergency (Prime)</t>
  </si>
  <si>
    <t>Diesel - Emergency</t>
  </si>
  <si>
    <t>Natural Gas - Non-Emergency (Prime)</t>
  </si>
  <si>
    <t>Natural Gas - Emergency</t>
  </si>
  <si>
    <t>Gasoline - Non-Emergency (Prime)</t>
  </si>
  <si>
    <t xml:space="preserve">Gasoline - Emergency </t>
  </si>
  <si>
    <t>LPG - Non-Emergency (Prime)</t>
  </si>
  <si>
    <t>LPG - Emergency</t>
  </si>
  <si>
    <t>Select</t>
  </si>
  <si>
    <t>Engine ID</t>
  </si>
  <si>
    <t>Engine ID (1,2, 3….)</t>
  </si>
  <si>
    <t>Engine Size (bhp - mechanical)</t>
  </si>
  <si>
    <t xml:space="preserve">Gasoline </t>
  </si>
  <si>
    <t>Engine Size (BHP)</t>
  </si>
  <si>
    <t>Convert to KW</t>
  </si>
  <si>
    <t>Rich Burn LPG 2007+</t>
  </si>
  <si>
    <t>Rich Burn LPG 2006 or earlier</t>
  </si>
  <si>
    <t>Lean Burn LPG Emergency &lt;130 HP</t>
  </si>
  <si>
    <t>Lean Burn LPG Emergency &gt;=130HP</t>
  </si>
  <si>
    <t>Lean Burn LPG 2008+, Prime</t>
  </si>
  <si>
    <t>Natural Gas 2008+, Prime</t>
  </si>
  <si>
    <t>Lean Burn LPG pre-2008</t>
  </si>
  <si>
    <t>Natural Gas pre-2008, rich burn</t>
  </si>
  <si>
    <t>Natural Gas pre-2008, lean burn</t>
  </si>
  <si>
    <t xml:space="preserve">Landfill/Digester Gas </t>
  </si>
  <si>
    <t>Emission Factors are taken from the NSPS standards and AP-42. These factors are intended to be conservative. Actual emissions may be lowered depending on the exact model year and power rating for an individual engine. Owner/operators may use a lower EF if the specific NSPS standard for their engine is lower than the EF used here. Where needed, the following conversions were used: 1 hp = 0.7457 kW, 1 lb = 453.592 g, average BSFC = 7000 Btu/hp-hr.</t>
  </si>
  <si>
    <t>Diesel - Non Emergency (Prime), Model Year 2014 or later, Rating &lt;75HP</t>
  </si>
  <si>
    <r>
      <t>Diesel - Non Emergency (Prime), Model Year 2014 or later, Rating  75&lt;HP</t>
    </r>
    <r>
      <rPr>
        <sz val="11"/>
        <color theme="1"/>
        <rFont val="Calibri"/>
        <family val="2"/>
      </rPr>
      <t>≤</t>
    </r>
    <r>
      <rPr>
        <sz val="11"/>
        <color theme="1"/>
        <rFont val="Calibri"/>
        <family val="2"/>
        <scheme val="minor"/>
      </rPr>
      <t>751HP</t>
    </r>
  </si>
  <si>
    <t>Diesel - Non Emergency (Prime), Model Year 2014 or later, Rating &gt;751 HP, generator set</t>
  </si>
  <si>
    <t>Diesel - Non Emergency (Prime), Model Year 2014 or later, Rating &gt;751 HP, non-generator set</t>
  </si>
  <si>
    <t>Diesel - Non Emergency (Prime), Model Year 2007-2013, Rating &lt;50 HP</t>
  </si>
  <si>
    <r>
      <t>Diesel - Non Emergency (Prime), Model Year 2007-2013, Rating 50</t>
    </r>
    <r>
      <rPr>
        <sz val="11"/>
        <color theme="1"/>
        <rFont val="Calibri"/>
        <family val="2"/>
      </rPr>
      <t>≤</t>
    </r>
    <r>
      <rPr>
        <sz val="11"/>
        <color theme="1"/>
        <rFont val="Calibri"/>
        <family val="2"/>
        <scheme val="minor"/>
      </rPr>
      <t>HP&lt;100</t>
    </r>
  </si>
  <si>
    <t>Diesel - Non Emergency (Prime), Model Year 2007-2013,Rating &gt;751 HP</t>
  </si>
  <si>
    <r>
      <t>Diesel - Non Emergency (Prime), Model Year 2007-2013, Rating 175</t>
    </r>
    <r>
      <rPr>
        <sz val="11"/>
        <color theme="1"/>
        <rFont val="Calibri"/>
        <family val="2"/>
      </rPr>
      <t>≤</t>
    </r>
    <r>
      <rPr>
        <sz val="11"/>
        <color theme="1"/>
        <rFont val="Calibri"/>
        <family val="2"/>
        <scheme val="minor"/>
      </rPr>
      <t>HP=&lt;751HP</t>
    </r>
  </si>
  <si>
    <r>
      <t xml:space="preserve">Diesel - Non Emergency (Prime), Model Year 2007-2013, Rating </t>
    </r>
    <r>
      <rPr>
        <sz val="11"/>
        <color theme="1"/>
        <rFont val="Calibri"/>
        <family val="2"/>
      </rPr>
      <t>≤</t>
    </r>
    <r>
      <rPr>
        <sz val="11"/>
        <color theme="1"/>
        <rFont val="Calibri"/>
        <family val="2"/>
        <scheme val="minor"/>
      </rPr>
      <t>100HP&lt;175</t>
    </r>
  </si>
  <si>
    <t>Engine Information - Non Emergency (Prime) Engines - ONLY</t>
  </si>
  <si>
    <t>Non Emergency Diesel Engines</t>
  </si>
  <si>
    <t>Emergency Engines</t>
  </si>
  <si>
    <t>Emissions Factors (g/kw-hr)</t>
  </si>
  <si>
    <t>VLOOkUP</t>
  </si>
  <si>
    <t>Total Emissions from Prime Engines</t>
  </si>
  <si>
    <t>TPY</t>
  </si>
  <si>
    <t>Gasoline - Emergency</t>
  </si>
  <si>
    <t>Rich Burn LPG, Emergency</t>
  </si>
  <si>
    <t>Lean Burn LPG, Emergency</t>
  </si>
  <si>
    <t>Rich Burn Natural Gas - Emergency</t>
  </si>
  <si>
    <t>Lean Burn Natural Gas - Emergency</t>
  </si>
  <si>
    <t>Potential to Emit - TPY</t>
  </si>
  <si>
    <t>Instructions</t>
  </si>
  <si>
    <t>Step 1</t>
  </si>
  <si>
    <t>Assign an ID number to each engine at your facility</t>
  </si>
  <si>
    <t>Step 2</t>
  </si>
  <si>
    <t>Step 3</t>
  </si>
  <si>
    <t>Step 4</t>
  </si>
  <si>
    <t>Engine Information - Emergency Engines - ONLY</t>
  </si>
  <si>
    <r>
      <t xml:space="preserve">For each </t>
    </r>
    <r>
      <rPr>
        <b/>
        <sz val="11"/>
        <color theme="1"/>
        <rFont val="Calibri"/>
        <family val="2"/>
        <scheme val="minor"/>
      </rPr>
      <t>Non-Emergency (Prime) Engine</t>
    </r>
    <r>
      <rPr>
        <sz val="11"/>
        <color theme="1"/>
        <rFont val="Calibri"/>
        <family val="2"/>
        <scheme val="minor"/>
      </rPr>
      <t xml:space="preserve">, identify the Engine ID, Engine Type (select from drop down box), and Engine Size in </t>
    </r>
    <r>
      <rPr>
        <b/>
        <sz val="11"/>
        <color theme="1"/>
        <rFont val="Calibri"/>
        <family val="2"/>
        <scheme val="minor"/>
      </rPr>
      <t>Table 1</t>
    </r>
    <r>
      <rPr>
        <sz val="11"/>
        <color theme="1"/>
        <rFont val="Calibri"/>
        <family val="2"/>
        <scheme val="minor"/>
      </rPr>
      <t xml:space="preserve"> below.</t>
    </r>
  </si>
  <si>
    <r>
      <t xml:space="preserve">For each </t>
    </r>
    <r>
      <rPr>
        <b/>
        <sz val="11"/>
        <color theme="1"/>
        <rFont val="Calibri"/>
        <family val="2"/>
        <scheme val="minor"/>
      </rPr>
      <t>Emergency Engine</t>
    </r>
    <r>
      <rPr>
        <sz val="11"/>
        <color theme="1"/>
        <rFont val="Calibri"/>
        <family val="2"/>
        <scheme val="minor"/>
      </rPr>
      <t xml:space="preserve">, identify the Engine ID, Engine Type (select from dropdown box), and Engine Size in </t>
    </r>
    <r>
      <rPr>
        <b/>
        <sz val="11"/>
        <color theme="1"/>
        <rFont val="Calibri"/>
        <family val="2"/>
        <scheme val="minor"/>
      </rPr>
      <t>Table 2</t>
    </r>
    <r>
      <rPr>
        <sz val="11"/>
        <color theme="1"/>
        <rFont val="Calibri"/>
        <family val="2"/>
        <scheme val="minor"/>
      </rPr>
      <t xml:space="preserve"> below.</t>
    </r>
  </si>
  <si>
    <t>Click on the "Output" tab below to review your facility's Potential to Emit</t>
  </si>
  <si>
    <t>Engine size (bhp - mechanical)</t>
  </si>
  <si>
    <t xml:space="preserve">**Note: For generator sets, the engine size is not the electrical output of the engine. Input the maximum power of the engine. </t>
  </si>
  <si>
    <t>HP</t>
  </si>
  <si>
    <t>kW</t>
  </si>
  <si>
    <t>Convert maximum power in kW to HP:</t>
  </si>
  <si>
    <t>Convert maximum power in HP to kW:</t>
  </si>
  <si>
    <t>Table 1</t>
  </si>
  <si>
    <t>Table 2</t>
  </si>
  <si>
    <t>****This does not convert electrical output in kW to mechanical output in HP. Please contact your reviewing authority if you need assistance.</t>
  </si>
  <si>
    <t>Table 3</t>
  </si>
  <si>
    <t>Auxiliary Heaters</t>
  </si>
  <si>
    <t>Unit ID</t>
  </si>
  <si>
    <t>Potential to Emit Calculator for Engines (Compression Igntion Engines)</t>
  </si>
  <si>
    <t>Step 5</t>
  </si>
  <si>
    <r>
      <t xml:space="preserve">For each </t>
    </r>
    <r>
      <rPr>
        <b/>
        <sz val="11"/>
        <color theme="1"/>
        <rFont val="Calibri"/>
        <family val="2"/>
        <scheme val="minor"/>
      </rPr>
      <t>Auxiliary Heater</t>
    </r>
    <r>
      <rPr>
        <sz val="11"/>
        <color theme="1"/>
        <rFont val="Calibri"/>
        <family val="2"/>
        <scheme val="minor"/>
      </rPr>
      <t xml:space="preserve">, identify the Unit ID, Maximum Rating, and Fuel Type in </t>
    </r>
    <r>
      <rPr>
        <b/>
        <sz val="11"/>
        <color theme="1"/>
        <rFont val="Calibri"/>
        <family val="2"/>
        <scheme val="minor"/>
      </rPr>
      <t>Table 3</t>
    </r>
    <r>
      <rPr>
        <sz val="11"/>
        <color theme="1"/>
        <rFont val="Calibri"/>
        <family val="2"/>
        <scheme val="minor"/>
      </rPr>
      <t xml:space="preserve"> below.</t>
    </r>
  </si>
  <si>
    <t xml:space="preserve">This spreadsheet helps estimate a facility's potential to emit. It is provided for the convenience of the permitted community. Emission factor sources are subject to revision or correction. It is the permittee's responsibility to determine their emissions. The permittee should consult with the reviewing authority to determine the appropriateness of this calculator for its source.   </t>
  </si>
  <si>
    <t>Potential to Emit Calculator for Engines (Compression Ignition Engines)</t>
  </si>
  <si>
    <t>Convert maximum power in HP to gal/yr:</t>
  </si>
  <si>
    <t>gal/yr</t>
  </si>
  <si>
    <t>Insert Value:</t>
  </si>
  <si>
    <t>Total Emissions from Emergency Engines*</t>
  </si>
  <si>
    <t>*When determining whether your source is a minor source (i.e., has a potential to emit (PTE) greater than the minor source thresholds), as you calculate your PTE, you should exclude emissions from any emergency engines exempted under section 49.153(c) at your facility that are allowed under this General Permit. ”Exempt” emergency engines are defined as follows: the combined maximum engine power of all emergency engines at the permitted source shall be below 1,000 hp in attainment areas or 500 hp in nonattainment areas classified as serious or lower.</t>
  </si>
  <si>
    <t>Maximum Rating (MMBtu/hr)</t>
  </si>
  <si>
    <t>Fuel Type</t>
  </si>
  <si>
    <t>Natural Gas</t>
  </si>
  <si>
    <t>LPG</t>
  </si>
  <si>
    <t>Distillate/Diesel</t>
  </si>
  <si>
    <t>Emissions from Auxiliary Heaters - Criteria Pollutants and Hazardous Air Pollutants</t>
  </si>
  <si>
    <t>Fuel Type:</t>
  </si>
  <si>
    <t>Pollutant</t>
  </si>
  <si>
    <r>
      <t>PM</t>
    </r>
    <r>
      <rPr>
        <vertAlign val="subscript"/>
        <sz val="10"/>
        <rFont val="Arial"/>
        <family val="2"/>
      </rPr>
      <t>10</t>
    </r>
    <r>
      <rPr>
        <vertAlign val="superscript"/>
        <sz val="10"/>
        <rFont val="Arial"/>
        <family val="2"/>
      </rPr>
      <t>2</t>
    </r>
  </si>
  <si>
    <r>
      <t>PM</t>
    </r>
    <r>
      <rPr>
        <vertAlign val="subscript"/>
        <sz val="10"/>
        <rFont val="Arial"/>
        <family val="2"/>
      </rPr>
      <t>2.5</t>
    </r>
  </si>
  <si>
    <r>
      <t>SO</t>
    </r>
    <r>
      <rPr>
        <vertAlign val="subscript"/>
        <sz val="10"/>
        <rFont val="Arial"/>
        <family val="2"/>
      </rPr>
      <t>2</t>
    </r>
  </si>
  <si>
    <r>
      <t>NO</t>
    </r>
    <r>
      <rPr>
        <vertAlign val="subscript"/>
        <sz val="10"/>
        <rFont val="Arial"/>
        <family val="2"/>
      </rPr>
      <t>X</t>
    </r>
  </si>
  <si>
    <t>HAPs</t>
  </si>
  <si>
    <r>
      <t>Emission Factor</t>
    </r>
    <r>
      <rPr>
        <vertAlign val="superscript"/>
        <sz val="10"/>
        <rFont val="Arial"/>
        <family val="2"/>
      </rPr>
      <t>1</t>
    </r>
    <r>
      <rPr>
        <sz val="10"/>
        <rFont val="Arial"/>
        <family val="2"/>
      </rPr>
      <t xml:space="preserve"> (lb/MMSCF)</t>
    </r>
  </si>
  <si>
    <t>Note:</t>
  </si>
  <si>
    <t>1. Emission factors are from AP-42, Chapter 1.4, Tables 1.4-1, 1.4-2, 1.4-3, and 1.4-4 (updated 07/98).</t>
  </si>
  <si>
    <r>
      <t>2. Assumed PM and PM</t>
    </r>
    <r>
      <rPr>
        <vertAlign val="subscript"/>
        <sz val="10"/>
        <rFont val="Arial"/>
        <family val="2"/>
      </rPr>
      <t>2.5</t>
    </r>
    <r>
      <rPr>
        <sz val="10"/>
        <rFont val="Arial"/>
        <family val="2"/>
      </rPr>
      <t xml:space="preserve"> emissions are equal to PM</t>
    </r>
    <r>
      <rPr>
        <vertAlign val="subscript"/>
        <sz val="10"/>
        <rFont val="Arial"/>
        <family val="2"/>
      </rPr>
      <t>10</t>
    </r>
    <r>
      <rPr>
        <sz val="10"/>
        <rFont val="Arial"/>
        <family val="2"/>
      </rPr>
      <t xml:space="preserve"> emissions.</t>
    </r>
  </si>
  <si>
    <t>Methodology</t>
  </si>
  <si>
    <t>PTE (ton/yr) = Heat Input (MMBtu/hr) x 1 MMSCF/1,020 MMBtu x EF (lb/MMSCF) x 8760 hr/yr x 1 ton/2000 lb</t>
  </si>
  <si>
    <t>Propane</t>
  </si>
  <si>
    <t>Sulfur Content:</t>
  </si>
  <si>
    <t>%</t>
  </si>
  <si>
    <r>
      <t>Emission Factor</t>
    </r>
    <r>
      <rPr>
        <vertAlign val="superscript"/>
        <sz val="10"/>
        <rFont val="Arial"/>
        <family val="2"/>
      </rPr>
      <t>1</t>
    </r>
    <r>
      <rPr>
        <sz val="10"/>
        <rFont val="Arial"/>
        <family val="2"/>
      </rPr>
      <t xml:space="preserve"> (lbs/kgal)</t>
    </r>
  </si>
  <si>
    <t>1. Emission factors are from AP-42, Chapter 1.5, Tables 1.5 (updated 07/08).</t>
  </si>
  <si>
    <t>PTE (ton/yr) = Heat Input (MMBtu/hr) x 1 kgal/91.5 MMBtu x EF (lb/kgal) x 8760 hr/yr x 1 ton/2000 lb</t>
  </si>
  <si>
    <t>Liquid Fuel</t>
  </si>
  <si>
    <r>
      <t>PM</t>
    </r>
    <r>
      <rPr>
        <vertAlign val="superscript"/>
        <sz val="10"/>
        <rFont val="Arial"/>
        <family val="2"/>
      </rPr>
      <t>2</t>
    </r>
  </si>
  <si>
    <r>
      <t>PM</t>
    </r>
    <r>
      <rPr>
        <vertAlign val="subscript"/>
        <sz val="10"/>
        <rFont val="Arial"/>
        <family val="2"/>
      </rPr>
      <t>10</t>
    </r>
  </si>
  <si>
    <r>
      <t>Emission Factor</t>
    </r>
    <r>
      <rPr>
        <vertAlign val="superscript"/>
        <sz val="10"/>
        <rFont val="Arial"/>
        <family val="2"/>
      </rPr>
      <t>1</t>
    </r>
    <r>
      <rPr>
        <sz val="10"/>
        <rFont val="Arial"/>
        <family val="2"/>
      </rPr>
      <t xml:space="preserve"> (lb/kgal)</t>
    </r>
  </si>
  <si>
    <t>1. Emission factors are from AP-42, Chapter 1.3, Tables 1.3-1, 1.3-2, 1.3-3, 1.3-9, and 1.3-10 for Fuel Oil Combustion (updated 05/10).</t>
  </si>
  <si>
    <t>2. Assume PM emissions are equal to PM10 emissions</t>
  </si>
  <si>
    <t>PTE (ton/yr) = Heat Input (MMBtu/hr) x 1 kgal/140 MMBtu x EF (lb/kgal) x 8760 hr/yr x 1 ton/2000 lb</t>
  </si>
  <si>
    <t>VLOOKUP</t>
  </si>
  <si>
    <r>
      <t>NO</t>
    </r>
    <r>
      <rPr>
        <b/>
        <vertAlign val="subscript"/>
        <sz val="10"/>
        <rFont val="Arial"/>
        <family val="2"/>
      </rPr>
      <t>X</t>
    </r>
  </si>
  <si>
    <r>
      <t>SO</t>
    </r>
    <r>
      <rPr>
        <b/>
        <vertAlign val="subscript"/>
        <sz val="10"/>
        <rFont val="Arial"/>
        <family val="2"/>
      </rPr>
      <t>2</t>
    </r>
  </si>
  <si>
    <r>
      <t>PM</t>
    </r>
    <r>
      <rPr>
        <b/>
        <vertAlign val="subscript"/>
        <sz val="10"/>
        <rFont val="Arial"/>
        <family val="2"/>
      </rPr>
      <t>10</t>
    </r>
    <r>
      <rPr>
        <b/>
        <vertAlign val="superscript"/>
        <sz val="10"/>
        <rFont val="Arial"/>
        <family val="2"/>
      </rPr>
      <t>2</t>
    </r>
  </si>
  <si>
    <r>
      <t>PM</t>
    </r>
    <r>
      <rPr>
        <b/>
        <vertAlign val="subscript"/>
        <sz val="10"/>
        <rFont val="Arial"/>
        <family val="2"/>
      </rPr>
      <t>2.5</t>
    </r>
  </si>
  <si>
    <t>Boilers and Heaters</t>
  </si>
  <si>
    <t>Size</t>
  </si>
  <si>
    <t>VLookUP</t>
  </si>
  <si>
    <t>Total Emissions from Boilers and Heaters</t>
  </si>
  <si>
    <t>Diesel - Non Emergency (Prime), Model Year 2014 or later, Rating  75&lt;HP≤751HP</t>
  </si>
  <si>
    <t>*If your source contains emergency engines that are not exempt under 40 CFR 49.153(c)(9), then you are not eligible for the CI engines general permit.</t>
  </si>
  <si>
    <t>If you have one or more of the following units that are exempt from the Indian Country Minor NSR Program, please contact your EPA Regional office before you use this calculator to determine whether you need to obtain a minor NSR permit: Internal combustion engines used for landscaping purposes; Emergency generators, designed solely for the purpose of providing electrical power during power outages; in nonattainment areas classified as Serious or lower, the total maximum manufacturer's site-rated hp of all units shall be below 500; in attainment areas, the total maximum manufacturer's site-rated hp of all units shall be below 1,000; Stationary internal combustion engines with a manufacturer's site-rated hp of less than 5; and Furnaces or boilers used for space heating that use only gaseous fuel, with a total maximum heat input (i.e., from all units combined) of in nonattainment areas classified as Serious or lower, 5 MMBtu/hr or less; in nonattainment areas classified as Severe or Extreme, 2 MMBtu/hr or less; and in attainment areas, 10 MMBtu/hr or less.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</si>
</sst>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0"/>
    <numFmt numFmtId="166" formatCode="0.00000"/>
  </numFmts>
  <fonts count="21" x14ac:knownFonts="1">
    <font>
      <sz val="11"/>
      <color theme="1"/>
      <name val="Calibri"/>
      <family val="2"/>
      <scheme val="minor"/>
    </font>
    <font>
      <b/>
      <sz val="11"/>
      <color theme="1"/>
      <name val="Calibri"/>
      <family val="2"/>
      <scheme val="minor"/>
    </font>
    <font>
      <sz val="11"/>
      <color theme="1"/>
      <name val="Calibri"/>
      <family val="2"/>
    </font>
    <font>
      <u/>
      <sz val="11"/>
      <color theme="10"/>
      <name val="Calibri"/>
      <family val="2"/>
    </font>
    <font>
      <sz val="11"/>
      <name val="Calibri"/>
      <family val="2"/>
    </font>
    <font>
      <b/>
      <sz val="12"/>
      <color theme="1"/>
      <name val="Calibri"/>
      <family val="2"/>
      <scheme val="minor"/>
    </font>
    <font>
      <b/>
      <sz val="14"/>
      <color theme="1"/>
      <name val="Calibri"/>
      <family val="2"/>
      <scheme val="minor"/>
    </font>
    <font>
      <b/>
      <sz val="16"/>
      <color theme="1"/>
      <name val="Calibri"/>
      <family val="2"/>
      <scheme val="minor"/>
    </font>
    <font>
      <sz val="12"/>
      <color theme="1"/>
      <name val="Calibri"/>
      <family val="2"/>
      <scheme val="minor"/>
    </font>
    <font>
      <sz val="11"/>
      <color rgb="FF0070C0"/>
      <name val="Calibri"/>
      <family val="2"/>
      <scheme val="minor"/>
    </font>
    <font>
      <sz val="12"/>
      <color rgb="FFFF0000"/>
      <name val="Calibri"/>
      <family val="2"/>
      <scheme val="minor"/>
    </font>
    <font>
      <sz val="8"/>
      <name val="Arial"/>
      <family val="2"/>
    </font>
    <font>
      <b/>
      <sz val="12"/>
      <name val="Arial"/>
      <family val="2"/>
    </font>
    <font>
      <b/>
      <sz val="10"/>
      <name val="Arial"/>
      <family val="2"/>
    </font>
    <font>
      <sz val="10"/>
      <name val="Arial"/>
      <family val="2"/>
    </font>
    <font>
      <sz val="10"/>
      <color rgb="FF7030A0"/>
      <name val="Arial"/>
      <family val="2"/>
    </font>
    <font>
      <vertAlign val="subscript"/>
      <sz val="10"/>
      <name val="Arial"/>
      <family val="2"/>
    </font>
    <font>
      <vertAlign val="superscript"/>
      <sz val="10"/>
      <name val="Arial"/>
      <family val="2"/>
    </font>
    <font>
      <b/>
      <vertAlign val="subscript"/>
      <sz val="10"/>
      <name val="Arial"/>
      <family val="2"/>
    </font>
    <font>
      <b/>
      <vertAlign val="superscript"/>
      <sz val="10"/>
      <name val="Arial"/>
      <family val="2"/>
    </font>
    <font>
      <sz val="10"/>
      <color rgb="FFFF0000"/>
      <name val="Arial"/>
      <family val="2"/>
    </font>
  </fonts>
  <fills count="5">
    <fill>
      <patternFill patternType="none"/>
    </fill>
    <fill>
      <patternFill patternType="gray125"/>
    </fill>
    <fill>
      <patternFill patternType="solid">
        <fgColor rgb="FFCCFFCC"/>
        <bgColor indexed="64"/>
      </patternFill>
    </fill>
    <fill>
      <patternFill patternType="solid">
        <fgColor rgb="FFFFFF00"/>
        <bgColor indexed="64"/>
      </patternFill>
    </fill>
    <fill>
      <patternFill patternType="solid">
        <fgColor indexed="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style="medium">
        <color auto="1"/>
      </right>
      <top style="thin">
        <color auto="1"/>
      </top>
      <bottom style="thin">
        <color auto="1"/>
      </bottom>
      <diagonal/>
    </border>
    <border>
      <left style="medium">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thin">
        <color auto="1"/>
      </left>
      <right style="medium">
        <color auto="1"/>
      </right>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77">
    <xf numFmtId="0" fontId="0" fillId="0" borderId="0" xfId="0"/>
    <xf numFmtId="0" fontId="1" fillId="0" borderId="0" xfId="0" applyFont="1"/>
    <xf numFmtId="0" fontId="0" fillId="0" borderId="1" xfId="0" applyBorder="1"/>
    <xf numFmtId="0" fontId="0" fillId="0" borderId="0" xfId="0" applyBorder="1"/>
    <xf numFmtId="0" fontId="1" fillId="0" borderId="0" xfId="0" applyFont="1" applyBorder="1"/>
    <xf numFmtId="0" fontId="0" fillId="0" borderId="0" xfId="0" applyFill="1" applyBorder="1"/>
    <xf numFmtId="0" fontId="1" fillId="0" borderId="1" xfId="0" applyFont="1" applyBorder="1"/>
    <xf numFmtId="0" fontId="4" fillId="0" borderId="1" xfId="1" applyFont="1" applyBorder="1" applyAlignment="1" applyProtection="1"/>
    <xf numFmtId="0" fontId="5" fillId="0" borderId="0" xfId="0" applyFont="1" applyBorder="1"/>
    <xf numFmtId="0" fontId="6" fillId="0" borderId="0" xfId="0" applyFont="1" applyBorder="1"/>
    <xf numFmtId="0" fontId="5" fillId="0" borderId="0" xfId="0" applyFont="1"/>
    <xf numFmtId="14" fontId="8" fillId="0" borderId="0" xfId="0" applyNumberFormat="1" applyFont="1" applyBorder="1" applyAlignment="1">
      <alignment horizontal="center"/>
    </xf>
    <xf numFmtId="0" fontId="8" fillId="0" borderId="0" xfId="0" applyFont="1" applyAlignment="1">
      <alignment horizontal="center"/>
    </xf>
    <xf numFmtId="0" fontId="0" fillId="0" borderId="0" xfId="0" applyAlignment="1"/>
    <xf numFmtId="0" fontId="0" fillId="0" borderId="1" xfId="0" applyFont="1" applyBorder="1"/>
    <xf numFmtId="14" fontId="8" fillId="0" borderId="0" xfId="0" applyNumberFormat="1" applyFont="1" applyBorder="1" applyAlignment="1">
      <alignment horizontal="center"/>
    </xf>
    <xf numFmtId="0" fontId="8" fillId="0" borderId="0" xfId="0" applyFont="1" applyAlignment="1">
      <alignment horizontal="center"/>
    </xf>
    <xf numFmtId="0" fontId="9" fillId="0" borderId="1" xfId="0" applyFont="1" applyBorder="1"/>
    <xf numFmtId="0" fontId="0" fillId="0" borderId="0" xfId="0" applyAlignment="1">
      <alignment wrapText="1"/>
    </xf>
    <xf numFmtId="0" fontId="0" fillId="2" borderId="1" xfId="0" applyFill="1" applyBorder="1"/>
    <xf numFmtId="0" fontId="13" fillId="0" borderId="0" xfId="0" applyFont="1"/>
    <xf numFmtId="0" fontId="14" fillId="0" borderId="0" xfId="0" applyFont="1"/>
    <xf numFmtId="0" fontId="14" fillId="0" borderId="0" xfId="0" applyFont="1" applyFill="1" applyBorder="1" applyAlignment="1">
      <alignment horizontal="center"/>
    </xf>
    <xf numFmtId="0" fontId="15" fillId="0" borderId="0" xfId="0" applyFont="1" applyAlignment="1">
      <alignment horizontal="center"/>
    </xf>
    <xf numFmtId="0" fontId="14" fillId="0" borderId="6" xfId="0" applyFont="1" applyBorder="1" applyAlignment="1">
      <alignment horizontal="center"/>
    </xf>
    <xf numFmtId="0" fontId="14" fillId="0" borderId="7" xfId="0" applyFont="1" applyBorder="1" applyAlignment="1">
      <alignment horizontal="center"/>
    </xf>
    <xf numFmtId="0" fontId="14" fillId="0" borderId="7" xfId="0" applyFont="1" applyBorder="1"/>
    <xf numFmtId="0" fontId="14" fillId="0" borderId="8" xfId="0" applyFont="1" applyBorder="1"/>
    <xf numFmtId="0" fontId="14" fillId="0" borderId="0" xfId="0" applyFont="1" applyBorder="1"/>
    <xf numFmtId="0" fontId="14" fillId="0" borderId="9" xfId="0" applyFont="1" applyBorder="1"/>
    <xf numFmtId="0" fontId="14" fillId="4" borderId="1" xfId="0" applyFont="1" applyFill="1" applyBorder="1" applyAlignment="1">
      <alignment horizontal="center"/>
    </xf>
    <xf numFmtId="0" fontId="14" fillId="0" borderId="10" xfId="0" applyFont="1" applyBorder="1" applyAlignment="1">
      <alignment horizontal="center"/>
    </xf>
    <xf numFmtId="0" fontId="14" fillId="0" borderId="11" xfId="0" applyFont="1" applyBorder="1"/>
    <xf numFmtId="0" fontId="14" fillId="0" borderId="12" xfId="0" applyFont="1" applyBorder="1"/>
    <xf numFmtId="0" fontId="14" fillId="0" borderId="13" xfId="0" applyFont="1" applyBorder="1"/>
    <xf numFmtId="0" fontId="14" fillId="0" borderId="14" xfId="0" applyFont="1" applyBorder="1" applyAlignment="1">
      <alignment horizontal="center"/>
    </xf>
    <xf numFmtId="164" fontId="14" fillId="0" borderId="14" xfId="0" applyNumberFormat="1" applyFont="1" applyBorder="1" applyAlignment="1">
      <alignment horizontal="center"/>
    </xf>
    <xf numFmtId="2" fontId="14" fillId="0" borderId="15" xfId="0" applyNumberFormat="1" applyFont="1" applyBorder="1" applyAlignment="1">
      <alignment horizontal="center"/>
    </xf>
    <xf numFmtId="0" fontId="14" fillId="0" borderId="2" xfId="0" applyFont="1" applyBorder="1" applyAlignment="1">
      <alignment horizontal="center"/>
    </xf>
    <xf numFmtId="0" fontId="14" fillId="0" borderId="16" xfId="0" applyFont="1" applyBorder="1"/>
    <xf numFmtId="0" fontId="13" fillId="0" borderId="0" xfId="0" applyFont="1" applyBorder="1"/>
    <xf numFmtId="164" fontId="14" fillId="0" borderId="0" xfId="0" applyNumberFormat="1" applyFont="1" applyBorder="1" applyAlignment="1">
      <alignment horizontal="center"/>
    </xf>
    <xf numFmtId="0" fontId="14" fillId="0" borderId="0" xfId="0" applyFont="1" applyBorder="1" applyAlignment="1">
      <alignment horizontal="center"/>
    </xf>
    <xf numFmtId="165" fontId="15" fillId="0" borderId="0" xfId="0" applyNumberFormat="1" applyFont="1" applyAlignment="1">
      <alignment horizontal="center"/>
    </xf>
    <xf numFmtId="0" fontId="14" fillId="0" borderId="15" xfId="0" applyFont="1" applyBorder="1" applyAlignment="1"/>
    <xf numFmtId="0" fontId="14" fillId="4" borderId="1" xfId="0" applyFont="1" applyFill="1" applyBorder="1" applyAlignment="1">
      <alignment horizontal="center" vertical="center"/>
    </xf>
    <xf numFmtId="0" fontId="14" fillId="0" borderId="10" xfId="0" applyFont="1" applyBorder="1" applyAlignment="1">
      <alignment horizontal="center" vertical="center"/>
    </xf>
    <xf numFmtId="164" fontId="14" fillId="0" borderId="14" xfId="0" applyNumberFormat="1" applyFont="1" applyBorder="1" applyAlignment="1">
      <alignment horizontal="center" vertical="center"/>
    </xf>
    <xf numFmtId="0" fontId="14" fillId="0" borderId="14" xfId="0" applyFont="1" applyBorder="1" applyAlignment="1">
      <alignment horizontal="center" vertical="center"/>
    </xf>
    <xf numFmtId="2" fontId="14" fillId="0" borderId="14" xfId="0" applyNumberFormat="1" applyFont="1" applyBorder="1" applyAlignment="1">
      <alignment horizontal="center" vertical="center"/>
    </xf>
    <xf numFmtId="0" fontId="14" fillId="0" borderId="15" xfId="0" applyFont="1" applyBorder="1" applyAlignment="1">
      <alignment horizontal="center" vertical="center"/>
    </xf>
    <xf numFmtId="0" fontId="13" fillId="4" borderId="1" xfId="0" applyFont="1" applyFill="1" applyBorder="1" applyAlignment="1">
      <alignment horizontal="center"/>
    </xf>
    <xf numFmtId="0" fontId="13" fillId="0" borderId="1" xfId="0" applyFont="1" applyBorder="1" applyAlignment="1">
      <alignment horizontal="center"/>
    </xf>
    <xf numFmtId="0" fontId="14" fillId="0" borderId="1" xfId="0" applyFont="1" applyBorder="1"/>
    <xf numFmtId="0" fontId="14" fillId="0" borderId="1" xfId="0" applyFont="1" applyBorder="1" applyAlignment="1">
      <alignment horizontal="center"/>
    </xf>
    <xf numFmtId="164" fontId="14" fillId="0" borderId="1" xfId="0" applyNumberFormat="1" applyFont="1" applyBorder="1" applyAlignment="1">
      <alignment horizontal="center"/>
    </xf>
    <xf numFmtId="2" fontId="14" fillId="0" borderId="1" xfId="0" applyNumberFormat="1" applyFont="1" applyBorder="1" applyAlignment="1">
      <alignment horizontal="center"/>
    </xf>
    <xf numFmtId="0" fontId="14" fillId="0" borderId="1" xfId="0" applyFont="1" applyBorder="1" applyAlignment="1"/>
    <xf numFmtId="166" fontId="14" fillId="0" borderId="1" xfId="0" applyNumberFormat="1" applyFont="1" applyBorder="1" applyAlignment="1">
      <alignment horizontal="center" vertical="center"/>
    </xf>
    <xf numFmtId="0" fontId="0" fillId="0" borderId="2" xfId="0" applyFill="1" applyBorder="1" applyAlignment="1">
      <alignment horizontal="left" wrapText="1"/>
    </xf>
    <xf numFmtId="0" fontId="0" fillId="0" borderId="0" xfId="0" applyFill="1" applyBorder="1" applyAlignment="1">
      <alignment horizontal="left" wrapText="1"/>
    </xf>
    <xf numFmtId="0" fontId="7" fillId="0" borderId="0" xfId="0" applyFont="1" applyBorder="1" applyAlignment="1">
      <alignment horizontal="center"/>
    </xf>
    <xf numFmtId="0" fontId="0" fillId="0" borderId="0" xfId="0" applyAlignment="1">
      <alignment horizontal="center"/>
    </xf>
    <xf numFmtId="14" fontId="8" fillId="0" borderId="0" xfId="0" applyNumberFormat="1" applyFont="1" applyBorder="1" applyAlignment="1">
      <alignment horizontal="center"/>
    </xf>
    <xf numFmtId="14" fontId="10" fillId="0" borderId="0" xfId="0" applyNumberFormat="1" applyFont="1" applyBorder="1" applyAlignment="1">
      <alignment horizontal="center" vertical="top" wrapText="1"/>
    </xf>
    <xf numFmtId="0" fontId="0" fillId="3" borderId="3" xfId="0" applyFont="1" applyFill="1" applyBorder="1" applyAlignment="1">
      <alignment horizontal="left" vertical="top" wrapText="1"/>
    </xf>
    <xf numFmtId="0" fontId="0" fillId="3" borderId="4" xfId="0" applyFont="1" applyFill="1" applyBorder="1" applyAlignment="1">
      <alignment horizontal="left" vertical="top" wrapText="1"/>
    </xf>
    <xf numFmtId="0" fontId="0" fillId="3" borderId="5" xfId="0" applyFont="1" applyFill="1" applyBorder="1" applyAlignment="1">
      <alignment horizontal="left" vertical="top" wrapText="1"/>
    </xf>
    <xf numFmtId="0" fontId="20" fillId="0" borderId="0" xfId="0" applyFont="1" applyAlignment="1">
      <alignment horizontal="left" vertical="top" wrapText="1"/>
    </xf>
    <xf numFmtId="0" fontId="1" fillId="0" borderId="1" xfId="0" applyFont="1" applyBorder="1" applyAlignment="1">
      <alignment horizontal="center"/>
    </xf>
    <xf numFmtId="0" fontId="0" fillId="0" borderId="0" xfId="0" applyAlignment="1"/>
    <xf numFmtId="0" fontId="8" fillId="0" borderId="0" xfId="0" applyFont="1" applyAlignment="1">
      <alignment horizontal="center"/>
    </xf>
    <xf numFmtId="0" fontId="0" fillId="0" borderId="0" xfId="0" applyAlignment="1">
      <alignment horizontal="left" vertical="top" wrapText="1"/>
    </xf>
    <xf numFmtId="0" fontId="12" fillId="0" borderId="0" xfId="0" applyFont="1" applyAlignment="1">
      <alignment horizontal="center"/>
    </xf>
    <xf numFmtId="14" fontId="0" fillId="0" borderId="0" xfId="0" applyNumberFormat="1" applyAlignment="1">
      <alignment horizontal="center"/>
    </xf>
    <xf numFmtId="0" fontId="1" fillId="0" borderId="0" xfId="0" applyFont="1" applyAlignment="1">
      <alignment horizontal="center"/>
    </xf>
    <xf numFmtId="0" fontId="11" fillId="0" borderId="0" xfId="0" applyFont="1" applyAlignment="1">
      <alignment vertical="center" wrapText="1"/>
    </xf>
  </cellXfs>
  <cellStyles count="2">
    <cellStyle name="Hyperlink" xfId="1" builtinId="8"/>
    <cellStyle name="Normal" xfId="0" builtinId="0"/>
  </cellStyles>
  <dxfs count="0"/>
  <tableStyles count="0" defaultTableStyle="TableStyleMedium9" defaultPivotStyle="PivotStyleLight16"/>
  <colors>
    <mruColors>
      <color rgb="FFCCFFCC"/>
      <color rgb="FF0070C0"/>
      <color rgb="FF000000"/>
      <color rgb="FF0000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BECKHAM\Desktop\FINAL%20FINAL%20Review\Concrete\Concrete%20Batch%20Plants%20PTE%20Calculator%20Version%201.0%20w%20final%20changes%20lkb%207-21-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Output"/>
      <sheetName val="DV-IDENTITY-0"/>
      <sheetName val="Batch Mix Oper."/>
      <sheetName val="Auxiliary Heater"/>
      <sheetName val="Non-Emergency Engine"/>
      <sheetName val="Emergency Generator"/>
      <sheetName val="Vehicle Traffic"/>
      <sheetName val="Storage Piles"/>
      <sheetName val="Solvent Degreaser"/>
    </sheetNames>
    <sheetDataSet>
      <sheetData sheetId="0">
        <row r="32">
          <cell r="H32">
            <v>1.5E-3</v>
          </cell>
        </row>
        <row r="33">
          <cell r="H33">
            <v>1.5E-3</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61"/>
  <sheetViews>
    <sheetView workbookViewId="0">
      <selection activeCell="A2" sqref="A2:J2"/>
    </sheetView>
  </sheetViews>
  <sheetFormatPr defaultColWidth="8.7109375" defaultRowHeight="15" x14ac:dyDescent="0.25"/>
  <cols>
    <col min="1" max="1" width="18.42578125" customWidth="1"/>
    <col min="2" max="2" width="82.42578125" customWidth="1"/>
    <col min="3" max="3" width="37.42578125" customWidth="1"/>
    <col min="4" max="4" width="16.42578125" customWidth="1"/>
    <col min="11" max="11" width="16.140625" customWidth="1"/>
    <col min="13" max="13" width="0" hidden="1" customWidth="1"/>
    <col min="16" max="16" width="7.85546875" customWidth="1"/>
    <col min="17" max="17" width="8.7109375" hidden="1" customWidth="1"/>
  </cols>
  <sheetData>
    <row r="1" spans="1:12" ht="21" x14ac:dyDescent="0.35">
      <c r="A1" s="61" t="s">
        <v>82</v>
      </c>
      <c r="B1" s="62"/>
      <c r="C1" s="62"/>
      <c r="D1" s="62"/>
      <c r="E1" s="62"/>
      <c r="F1" s="62"/>
      <c r="G1" s="62"/>
      <c r="H1" s="62"/>
      <c r="I1" s="62"/>
      <c r="J1" s="62"/>
    </row>
    <row r="2" spans="1:12" ht="15.75" x14ac:dyDescent="0.25">
      <c r="A2" s="63">
        <v>42552</v>
      </c>
      <c r="B2" s="63"/>
      <c r="C2" s="63"/>
      <c r="D2" s="63"/>
      <c r="E2" s="63"/>
      <c r="F2" s="63"/>
      <c r="G2" s="63"/>
      <c r="H2" s="63"/>
      <c r="I2" s="63"/>
      <c r="J2" s="63"/>
    </row>
    <row r="3" spans="1:12" ht="32.25" customHeight="1" x14ac:dyDescent="0.25">
      <c r="A3" s="64" t="s">
        <v>81</v>
      </c>
      <c r="B3" s="64"/>
      <c r="C3" s="64"/>
      <c r="D3" s="64"/>
      <c r="E3" s="64"/>
      <c r="F3" s="64"/>
      <c r="G3" s="64"/>
      <c r="H3" s="64"/>
      <c r="I3" s="64"/>
      <c r="J3" s="64"/>
      <c r="K3" s="18"/>
      <c r="L3" s="18"/>
    </row>
    <row r="4" spans="1:12" ht="15.75" x14ac:dyDescent="0.25">
      <c r="A4" s="15"/>
      <c r="B4" s="16"/>
      <c r="C4" s="16"/>
      <c r="D4" s="16"/>
      <c r="E4" s="16"/>
      <c r="F4" s="16"/>
      <c r="G4" s="16"/>
      <c r="H4" s="16"/>
      <c r="I4" s="16"/>
      <c r="J4" s="16"/>
    </row>
    <row r="5" spans="1:12" ht="72" customHeight="1" x14ac:dyDescent="0.25">
      <c r="A5" s="68" t="s">
        <v>131</v>
      </c>
      <c r="B5" s="68"/>
      <c r="C5" s="68"/>
      <c r="D5" s="68"/>
      <c r="E5" s="68"/>
      <c r="F5" s="68"/>
      <c r="G5" s="68"/>
      <c r="H5" s="68"/>
      <c r="I5" s="68"/>
      <c r="J5" s="68"/>
    </row>
    <row r="6" spans="1:12" ht="18.75" x14ac:dyDescent="0.3">
      <c r="A6" s="9" t="s">
        <v>56</v>
      </c>
      <c r="B6" s="3"/>
      <c r="C6" s="3"/>
    </row>
    <row r="7" spans="1:12" x14ac:dyDescent="0.25">
      <c r="A7" s="3" t="s">
        <v>57</v>
      </c>
      <c r="B7" s="3" t="s">
        <v>58</v>
      </c>
      <c r="C7" s="3"/>
    </row>
    <row r="8" spans="1:12" x14ac:dyDescent="0.25">
      <c r="A8" s="3" t="s">
        <v>59</v>
      </c>
      <c r="B8" s="3" t="s">
        <v>63</v>
      </c>
      <c r="C8" s="3"/>
    </row>
    <row r="9" spans="1:12" x14ac:dyDescent="0.25">
      <c r="A9" s="3" t="s">
        <v>60</v>
      </c>
      <c r="B9" s="3" t="s">
        <v>64</v>
      </c>
      <c r="C9" s="3"/>
    </row>
    <row r="10" spans="1:12" x14ac:dyDescent="0.25">
      <c r="A10" s="5" t="s">
        <v>61</v>
      </c>
      <c r="B10" s="5" t="s">
        <v>80</v>
      </c>
      <c r="C10" s="3"/>
    </row>
    <row r="11" spans="1:12" x14ac:dyDescent="0.25">
      <c r="A11" s="5" t="s">
        <v>79</v>
      </c>
      <c r="B11" s="5" t="s">
        <v>65</v>
      </c>
      <c r="C11" s="3"/>
    </row>
    <row r="12" spans="1:12" x14ac:dyDescent="0.25">
      <c r="A12" s="5"/>
      <c r="B12" s="5"/>
      <c r="C12" s="3"/>
    </row>
    <row r="13" spans="1:12" x14ac:dyDescent="0.25">
      <c r="C13" s="3"/>
      <c r="D13" s="1" t="s">
        <v>85</v>
      </c>
      <c r="E13" s="3"/>
    </row>
    <row r="14" spans="1:12" x14ac:dyDescent="0.25">
      <c r="A14" s="5"/>
      <c r="B14" s="3"/>
      <c r="C14" s="2" t="s">
        <v>70</v>
      </c>
      <c r="D14" s="19">
        <v>1</v>
      </c>
      <c r="E14" s="2" t="s">
        <v>69</v>
      </c>
      <c r="F14" s="2">
        <f>D14/0.7457</f>
        <v>1.3410218586562961</v>
      </c>
      <c r="G14" s="2" t="s">
        <v>68</v>
      </c>
    </row>
    <row r="15" spans="1:12" x14ac:dyDescent="0.25">
      <c r="A15" s="5"/>
      <c r="B15" s="3"/>
      <c r="C15" s="2" t="s">
        <v>71</v>
      </c>
      <c r="D15" s="19">
        <v>1</v>
      </c>
      <c r="E15" s="2" t="s">
        <v>68</v>
      </c>
      <c r="F15" s="2">
        <f>D15*0.7457</f>
        <v>0.74570000000000003</v>
      </c>
      <c r="G15" s="7" t="s">
        <v>69</v>
      </c>
    </row>
    <row r="16" spans="1:12" x14ac:dyDescent="0.25">
      <c r="A16" s="5"/>
      <c r="B16" s="3"/>
      <c r="C16" s="2" t="s">
        <v>83</v>
      </c>
      <c r="D16" s="19">
        <v>1</v>
      </c>
      <c r="E16" s="2" t="s">
        <v>68</v>
      </c>
      <c r="F16" s="2">
        <f>D16*7000/128000*8760</f>
        <v>479.0625</v>
      </c>
      <c r="G16" s="7" t="s">
        <v>84</v>
      </c>
    </row>
    <row r="17" spans="1:17" x14ac:dyDescent="0.25">
      <c r="A17" s="5"/>
      <c r="B17" s="3"/>
      <c r="C17" s="3" t="s">
        <v>74</v>
      </c>
      <c r="E17" s="3"/>
    </row>
    <row r="18" spans="1:17" x14ac:dyDescent="0.25">
      <c r="A18" s="5"/>
      <c r="B18" s="3"/>
      <c r="C18" s="3"/>
      <c r="E18" s="3"/>
    </row>
    <row r="19" spans="1:17" ht="15.75" x14ac:dyDescent="0.25">
      <c r="A19" s="10" t="s">
        <v>72</v>
      </c>
      <c r="C19" s="5"/>
      <c r="E19" s="3"/>
      <c r="M19" t="s">
        <v>16</v>
      </c>
      <c r="Q19" t="s">
        <v>8</v>
      </c>
    </row>
    <row r="20" spans="1:17" x14ac:dyDescent="0.25">
      <c r="A20" s="1" t="s">
        <v>43</v>
      </c>
      <c r="E20" s="5"/>
      <c r="M20" t="s">
        <v>34</v>
      </c>
      <c r="Q20" t="s">
        <v>9</v>
      </c>
    </row>
    <row r="21" spans="1:17" x14ac:dyDescent="0.25">
      <c r="E21" s="3"/>
      <c r="M21" t="s">
        <v>35</v>
      </c>
      <c r="Q21" t="s">
        <v>10</v>
      </c>
    </row>
    <row r="22" spans="1:17" x14ac:dyDescent="0.25">
      <c r="A22" s="6" t="s">
        <v>18</v>
      </c>
      <c r="B22" s="6" t="s">
        <v>7</v>
      </c>
      <c r="C22" s="6" t="s">
        <v>66</v>
      </c>
      <c r="D22" s="59" t="s">
        <v>67</v>
      </c>
      <c r="E22" s="60"/>
      <c r="F22" s="60"/>
      <c r="G22" s="60"/>
      <c r="H22" s="60"/>
      <c r="M22" t="s">
        <v>36</v>
      </c>
      <c r="Q22" t="s">
        <v>11</v>
      </c>
    </row>
    <row r="23" spans="1:17" x14ac:dyDescent="0.25">
      <c r="A23" s="19"/>
      <c r="B23" s="19" t="s">
        <v>129</v>
      </c>
      <c r="C23" s="19">
        <v>3450</v>
      </c>
      <c r="D23" s="59"/>
      <c r="E23" s="60"/>
      <c r="F23" s="60"/>
      <c r="G23" s="60"/>
      <c r="H23" s="60"/>
      <c r="M23" t="s">
        <v>37</v>
      </c>
      <c r="Q23" t="s">
        <v>12</v>
      </c>
    </row>
    <row r="24" spans="1:17" x14ac:dyDescent="0.25">
      <c r="A24" s="19"/>
      <c r="B24" s="19" t="s">
        <v>16</v>
      </c>
      <c r="C24" s="19">
        <v>0</v>
      </c>
      <c r="D24" s="59"/>
      <c r="E24" s="60"/>
      <c r="F24" s="60"/>
      <c r="G24" s="60"/>
      <c r="H24" s="60"/>
      <c r="Q24" t="s">
        <v>13</v>
      </c>
    </row>
    <row r="25" spans="1:17" x14ac:dyDescent="0.25">
      <c r="A25" s="19"/>
      <c r="B25" s="19" t="s">
        <v>16</v>
      </c>
      <c r="C25" s="19">
        <v>0</v>
      </c>
      <c r="Q25" t="s">
        <v>14</v>
      </c>
    </row>
    <row r="26" spans="1:17" x14ac:dyDescent="0.25">
      <c r="A26" s="19"/>
      <c r="B26" s="19" t="s">
        <v>16</v>
      </c>
      <c r="C26" s="19">
        <v>0</v>
      </c>
      <c r="Q26" t="s">
        <v>15</v>
      </c>
    </row>
    <row r="27" spans="1:17" x14ac:dyDescent="0.25">
      <c r="A27" s="19"/>
      <c r="B27" s="19" t="s">
        <v>16</v>
      </c>
      <c r="C27" s="19">
        <v>0</v>
      </c>
    </row>
    <row r="28" spans="1:17" x14ac:dyDescent="0.25">
      <c r="A28" s="19"/>
      <c r="B28" s="19" t="s">
        <v>16</v>
      </c>
      <c r="C28" s="19">
        <v>0</v>
      </c>
      <c r="Q28" t="s">
        <v>16</v>
      </c>
    </row>
    <row r="29" spans="1:17" x14ac:dyDescent="0.25">
      <c r="A29" s="19"/>
      <c r="B29" s="19" t="s">
        <v>16</v>
      </c>
      <c r="C29" s="19">
        <v>0</v>
      </c>
      <c r="Q29" t="s">
        <v>90</v>
      </c>
    </row>
    <row r="30" spans="1:17" x14ac:dyDescent="0.25">
      <c r="A30" s="19"/>
      <c r="B30" s="19" t="s">
        <v>16</v>
      </c>
      <c r="C30" s="19">
        <v>0</v>
      </c>
      <c r="M30" t="s">
        <v>45</v>
      </c>
      <c r="Q30" t="s">
        <v>91</v>
      </c>
    </row>
    <row r="31" spans="1:17" x14ac:dyDescent="0.25">
      <c r="A31" s="19"/>
      <c r="B31" s="19" t="s">
        <v>16</v>
      </c>
      <c r="C31" s="19">
        <v>0</v>
      </c>
      <c r="M31" t="s">
        <v>16</v>
      </c>
      <c r="Q31" t="s">
        <v>92</v>
      </c>
    </row>
    <row r="32" spans="1:17" x14ac:dyDescent="0.25">
      <c r="A32" s="19"/>
      <c r="B32" s="19" t="s">
        <v>16</v>
      </c>
      <c r="C32" s="19">
        <v>0</v>
      </c>
      <c r="M32" t="s">
        <v>9</v>
      </c>
    </row>
    <row r="33" spans="1:13" x14ac:dyDescent="0.25">
      <c r="A33" s="3"/>
      <c r="B33" s="3"/>
      <c r="C33" s="3"/>
      <c r="M33" t="s">
        <v>51</v>
      </c>
    </row>
    <row r="34" spans="1:13" ht="15.75" x14ac:dyDescent="0.25">
      <c r="A34" s="8" t="s">
        <v>73</v>
      </c>
      <c r="B34" s="3"/>
      <c r="C34" s="3"/>
      <c r="M34" t="s">
        <v>52</v>
      </c>
    </row>
    <row r="35" spans="1:13" x14ac:dyDescent="0.25">
      <c r="A35" s="4" t="s">
        <v>62</v>
      </c>
      <c r="B35" s="3"/>
      <c r="C35" s="3"/>
      <c r="M35" t="s">
        <v>53</v>
      </c>
    </row>
    <row r="36" spans="1:13" ht="17.25" customHeight="1" x14ac:dyDescent="0.25">
      <c r="A36" s="65" t="s">
        <v>130</v>
      </c>
      <c r="B36" s="66"/>
      <c r="C36" s="67"/>
      <c r="M36" t="s">
        <v>54</v>
      </c>
    </row>
    <row r="37" spans="1:13" x14ac:dyDescent="0.25">
      <c r="A37" s="3"/>
      <c r="B37" s="3"/>
      <c r="C37" s="3"/>
      <c r="M37" t="s">
        <v>50</v>
      </c>
    </row>
    <row r="38" spans="1:13" x14ac:dyDescent="0.25">
      <c r="A38" s="6" t="s">
        <v>18</v>
      </c>
      <c r="B38" s="6" t="s">
        <v>7</v>
      </c>
      <c r="C38" s="6" t="s">
        <v>19</v>
      </c>
    </row>
    <row r="39" spans="1:13" x14ac:dyDescent="0.25">
      <c r="A39" s="19"/>
      <c r="B39" s="19" t="s">
        <v>51</v>
      </c>
      <c r="C39" s="19">
        <v>1000</v>
      </c>
    </row>
    <row r="40" spans="1:13" x14ac:dyDescent="0.25">
      <c r="A40" s="19"/>
      <c r="B40" s="19" t="s">
        <v>16</v>
      </c>
      <c r="C40" s="19">
        <v>0</v>
      </c>
    </row>
    <row r="41" spans="1:13" x14ac:dyDescent="0.25">
      <c r="A41" s="19"/>
      <c r="B41" s="19" t="s">
        <v>16</v>
      </c>
      <c r="C41" s="19">
        <v>0</v>
      </c>
    </row>
    <row r="42" spans="1:13" x14ac:dyDescent="0.25">
      <c r="A42" s="19"/>
      <c r="B42" s="19" t="s">
        <v>16</v>
      </c>
      <c r="C42" s="19">
        <v>0</v>
      </c>
    </row>
    <row r="43" spans="1:13" x14ac:dyDescent="0.25">
      <c r="A43" s="19"/>
      <c r="B43" s="19" t="s">
        <v>16</v>
      </c>
      <c r="C43" s="19">
        <v>0</v>
      </c>
    </row>
    <row r="44" spans="1:13" x14ac:dyDescent="0.25">
      <c r="A44" s="19"/>
      <c r="B44" s="19" t="s">
        <v>16</v>
      </c>
      <c r="C44" s="19">
        <v>0</v>
      </c>
    </row>
    <row r="45" spans="1:13" x14ac:dyDescent="0.25">
      <c r="A45" s="19"/>
      <c r="B45" s="19" t="s">
        <v>16</v>
      </c>
      <c r="C45" s="19">
        <v>0</v>
      </c>
    </row>
    <row r="46" spans="1:13" x14ac:dyDescent="0.25">
      <c r="A46" s="19"/>
      <c r="B46" s="19" t="s">
        <v>16</v>
      </c>
      <c r="C46" s="19">
        <v>0</v>
      </c>
    </row>
    <row r="47" spans="1:13" x14ac:dyDescent="0.25">
      <c r="A47" s="19"/>
      <c r="B47" s="19" t="s">
        <v>16</v>
      </c>
      <c r="C47" s="19"/>
    </row>
    <row r="48" spans="1:13" x14ac:dyDescent="0.25">
      <c r="A48" s="19"/>
      <c r="B48" s="19" t="s">
        <v>16</v>
      </c>
      <c r="C48" s="19"/>
    </row>
    <row r="49" spans="1:3" x14ac:dyDescent="0.25">
      <c r="A49" s="3"/>
      <c r="B49" s="3"/>
      <c r="C49" s="3"/>
    </row>
    <row r="50" spans="1:3" ht="15.75" x14ac:dyDescent="0.25">
      <c r="A50" s="8" t="s">
        <v>75</v>
      </c>
      <c r="B50" s="3"/>
      <c r="C50" s="3"/>
    </row>
    <row r="51" spans="1:3" x14ac:dyDescent="0.25">
      <c r="A51" s="1" t="s">
        <v>76</v>
      </c>
    </row>
    <row r="53" spans="1:3" x14ac:dyDescent="0.25">
      <c r="A53" s="6" t="s">
        <v>77</v>
      </c>
      <c r="B53" s="6" t="s">
        <v>89</v>
      </c>
      <c r="C53" s="6" t="s">
        <v>88</v>
      </c>
    </row>
    <row r="54" spans="1:3" x14ac:dyDescent="0.25">
      <c r="A54" s="19"/>
      <c r="B54" s="19" t="s">
        <v>90</v>
      </c>
      <c r="C54" s="19">
        <v>10</v>
      </c>
    </row>
    <row r="55" spans="1:3" x14ac:dyDescent="0.25">
      <c r="A55" s="19"/>
      <c r="B55" s="19" t="s">
        <v>16</v>
      </c>
      <c r="C55" s="19">
        <v>0</v>
      </c>
    </row>
    <row r="56" spans="1:3" x14ac:dyDescent="0.25">
      <c r="A56" s="19"/>
      <c r="B56" s="19" t="s">
        <v>16</v>
      </c>
      <c r="C56" s="19">
        <v>0</v>
      </c>
    </row>
    <row r="57" spans="1:3" x14ac:dyDescent="0.25">
      <c r="A57" s="19"/>
      <c r="B57" s="19" t="s">
        <v>16</v>
      </c>
      <c r="C57" s="19">
        <v>0</v>
      </c>
    </row>
    <row r="58" spans="1:3" x14ac:dyDescent="0.25">
      <c r="A58" s="19"/>
      <c r="B58" s="19" t="s">
        <v>16</v>
      </c>
      <c r="C58" s="19"/>
    </row>
    <row r="59" spans="1:3" x14ac:dyDescent="0.25">
      <c r="A59" s="19"/>
      <c r="B59" s="19" t="s">
        <v>16</v>
      </c>
      <c r="C59" s="19"/>
    </row>
    <row r="60" spans="1:3" x14ac:dyDescent="0.25">
      <c r="A60" s="19"/>
      <c r="B60" s="19" t="s">
        <v>16</v>
      </c>
      <c r="C60" s="19"/>
    </row>
    <row r="61" spans="1:3" x14ac:dyDescent="0.25">
      <c r="A61" s="19"/>
      <c r="B61" s="19" t="s">
        <v>16</v>
      </c>
      <c r="C61" s="19"/>
    </row>
  </sheetData>
  <mergeCells count="6">
    <mergeCell ref="D22:H24"/>
    <mergeCell ref="A1:J1"/>
    <mergeCell ref="A2:J2"/>
    <mergeCell ref="A3:J3"/>
    <mergeCell ref="A36:C36"/>
    <mergeCell ref="A5:J5"/>
  </mergeCells>
  <dataValidations count="4">
    <dataValidation type="list" allowBlank="1" showInputMessage="1" showErrorMessage="1" sqref="B49:B50 B37 B33:B35">
      <formula1>$M$19:$M$49</formula1>
    </dataValidation>
    <dataValidation type="list" allowBlank="1" showInputMessage="1" showErrorMessage="1" sqref="B23:B32">
      <formula1>$M$19:$M$23</formula1>
    </dataValidation>
    <dataValidation type="list" allowBlank="1" showInputMessage="1" showErrorMessage="1" sqref="B39:B48">
      <formula1>$M$31:$M$37</formula1>
    </dataValidation>
    <dataValidation type="list" allowBlank="1" showInputMessage="1" showErrorMessage="1" sqref="B54:B61">
      <formula1>$Q$28:$Q$31</formula1>
    </dataValidation>
  </dataValidations>
  <pageMargins left="0.7" right="0.7" top="0.75" bottom="0.75" header="0.3" footer="0.3"/>
  <pageSetup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N6"/>
  <sheetViews>
    <sheetView workbookViewId="0">
      <selection activeCell="A3" sqref="A3"/>
    </sheetView>
  </sheetViews>
  <sheetFormatPr defaultColWidth="8.7109375" defaultRowHeight="15" x14ac:dyDescent="0.25"/>
  <sheetData>
    <row r="1" spans="1:14" ht="21" x14ac:dyDescent="0.35">
      <c r="A1" s="61" t="s">
        <v>78</v>
      </c>
      <c r="B1" s="62"/>
      <c r="C1" s="62"/>
      <c r="D1" s="62"/>
      <c r="E1" s="62"/>
      <c r="F1" s="62"/>
      <c r="G1" s="62"/>
      <c r="H1" s="62"/>
      <c r="I1" s="62"/>
      <c r="J1" s="62"/>
      <c r="K1" s="70"/>
      <c r="L1" s="70"/>
      <c r="M1" s="70"/>
      <c r="N1" s="70"/>
    </row>
    <row r="2" spans="1:14" ht="15.75" x14ac:dyDescent="0.25">
      <c r="A2" s="63">
        <v>42552</v>
      </c>
      <c r="B2" s="71"/>
      <c r="C2" s="71"/>
      <c r="D2" s="71"/>
      <c r="E2" s="71"/>
      <c r="F2" s="71"/>
      <c r="G2" s="71"/>
      <c r="H2" s="71"/>
      <c r="I2" s="71"/>
      <c r="J2" s="71"/>
      <c r="K2" s="70"/>
      <c r="L2" s="70"/>
      <c r="M2" s="70"/>
    </row>
    <row r="3" spans="1:14" ht="15.75" x14ac:dyDescent="0.25">
      <c r="A3" s="11"/>
      <c r="B3" s="12"/>
      <c r="C3" s="12"/>
      <c r="D3" s="12"/>
      <c r="E3" s="12"/>
      <c r="F3" s="12"/>
      <c r="G3" s="12"/>
      <c r="H3" s="12"/>
      <c r="I3" s="12"/>
      <c r="J3" s="12"/>
      <c r="K3" s="13"/>
      <c r="L3" s="13"/>
      <c r="M3" s="13"/>
    </row>
    <row r="4" spans="1:14" x14ac:dyDescent="0.25">
      <c r="A4" s="69" t="s">
        <v>55</v>
      </c>
      <c r="B4" s="69"/>
      <c r="C4" s="69"/>
      <c r="D4" s="69"/>
      <c r="E4" s="69"/>
      <c r="F4" s="69"/>
      <c r="G4" s="69"/>
    </row>
    <row r="5" spans="1:14" x14ac:dyDescent="0.25">
      <c r="A5" s="2" t="s">
        <v>0</v>
      </c>
      <c r="B5" s="2" t="s">
        <v>1</v>
      </c>
      <c r="C5" s="2" t="s">
        <v>2</v>
      </c>
      <c r="D5" s="2" t="s">
        <v>3</v>
      </c>
      <c r="E5" s="2" t="s">
        <v>4</v>
      </c>
      <c r="F5" s="2" t="s">
        <v>5</v>
      </c>
      <c r="G5" s="2" t="s">
        <v>6</v>
      </c>
    </row>
    <row r="6" spans="1:14" x14ac:dyDescent="0.25">
      <c r="A6" s="17">
        <f>Emissions!E16+Emissions!E29+Emissions!E41</f>
        <v>98.380923757893441</v>
      </c>
      <c r="B6" s="17">
        <f>Emissions!F16+Emissions!F29+Emissions!F41</f>
        <v>19.006553814142897</v>
      </c>
      <c r="C6" s="17">
        <f>Emissions!G16+Emissions!G29+Emissions!G41</f>
        <v>0.21037369588235294</v>
      </c>
      <c r="D6" s="17">
        <f>Emissions!H16+Emissions!H29+Emissions!H41</f>
        <v>5.0184862124531717</v>
      </c>
      <c r="E6" s="17">
        <f>Emissions!I16+Emissions!I29+Emissions!I41</f>
        <v>0.86403291203067445</v>
      </c>
      <c r="F6" s="17">
        <f>Emissions!J16+Emissions!J29+Emissions!J41</f>
        <v>0.86403291203067445</v>
      </c>
      <c r="G6" s="17">
        <f>Emissions!K16+Emissions!K29+Emissions!K41</f>
        <v>0.86403291203067445</v>
      </c>
    </row>
  </sheetData>
  <mergeCells count="3">
    <mergeCell ref="A4:G4"/>
    <mergeCell ref="A1:N1"/>
    <mergeCell ref="A2:M2"/>
  </mergeCells>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00"/>
  </sheetPr>
  <dimension ref="A1:N34"/>
  <sheetViews>
    <sheetView workbookViewId="0">
      <selection activeCell="A2" sqref="A2:J2"/>
    </sheetView>
  </sheetViews>
  <sheetFormatPr defaultColWidth="8.7109375" defaultRowHeight="15" x14ac:dyDescent="0.25"/>
  <cols>
    <col min="1" max="1" width="72.42578125" customWidth="1"/>
    <col min="2" max="8" width="12.7109375" customWidth="1"/>
  </cols>
  <sheetData>
    <row r="1" spans="1:10" ht="21" x14ac:dyDescent="0.35">
      <c r="A1" s="61" t="s">
        <v>78</v>
      </c>
      <c r="B1" s="62"/>
      <c r="C1" s="62"/>
      <c r="D1" s="62"/>
      <c r="E1" s="62"/>
      <c r="F1" s="62"/>
      <c r="G1" s="62"/>
      <c r="H1" s="62"/>
      <c r="I1" s="62"/>
      <c r="J1" s="62"/>
    </row>
    <row r="2" spans="1:10" ht="15.75" x14ac:dyDescent="0.25">
      <c r="A2" s="63">
        <v>42552</v>
      </c>
      <c r="B2" s="63"/>
      <c r="C2" s="63"/>
      <c r="D2" s="63"/>
      <c r="E2" s="63"/>
      <c r="F2" s="63"/>
      <c r="G2" s="63"/>
      <c r="H2" s="63"/>
      <c r="I2" s="63"/>
      <c r="J2" s="63"/>
    </row>
    <row r="4" spans="1:10" x14ac:dyDescent="0.25">
      <c r="A4" s="6" t="s">
        <v>46</v>
      </c>
      <c r="B4" s="6" t="s">
        <v>0</v>
      </c>
      <c r="C4" s="6" t="s">
        <v>1</v>
      </c>
      <c r="D4" s="6" t="s">
        <v>2</v>
      </c>
      <c r="E4" s="6" t="s">
        <v>3</v>
      </c>
      <c r="F4" s="6" t="s">
        <v>4</v>
      </c>
      <c r="G4" s="6" t="s">
        <v>5</v>
      </c>
      <c r="H4" s="6" t="s">
        <v>6</v>
      </c>
    </row>
    <row r="5" spans="1:10" x14ac:dyDescent="0.25">
      <c r="A5" s="14" t="s">
        <v>16</v>
      </c>
      <c r="B5" s="14">
        <v>0</v>
      </c>
      <c r="C5" s="14">
        <v>0</v>
      </c>
      <c r="D5" s="14">
        <v>0</v>
      </c>
      <c r="E5" s="14">
        <v>0</v>
      </c>
      <c r="F5" s="14">
        <v>0</v>
      </c>
      <c r="G5" s="14">
        <v>0</v>
      </c>
      <c r="H5" s="14">
        <v>0</v>
      </c>
    </row>
    <row r="6" spans="1:10" x14ac:dyDescent="0.25">
      <c r="A6" s="2" t="s">
        <v>34</v>
      </c>
      <c r="B6" s="2">
        <v>5</v>
      </c>
      <c r="C6" s="2">
        <v>4.7</v>
      </c>
      <c r="D6" s="2">
        <f>0.00809*0.0015*453.592/0.7457</f>
        <v>7.3814388091725889E-3</v>
      </c>
      <c r="E6" s="2">
        <v>0.19</v>
      </c>
      <c r="F6" s="2">
        <v>0.03</v>
      </c>
      <c r="G6" s="2">
        <v>0.03</v>
      </c>
      <c r="H6" s="2">
        <v>0.03</v>
      </c>
    </row>
    <row r="7" spans="1:10" x14ac:dyDescent="0.25">
      <c r="A7" s="2" t="s">
        <v>35</v>
      </c>
      <c r="B7" s="2">
        <v>3.5</v>
      </c>
      <c r="C7" s="2">
        <v>0.4</v>
      </c>
      <c r="D7" s="2">
        <f t="shared" ref="D7:D15" si="0">0.00809*0.0015*453.592/0.7457</f>
        <v>7.3814388091725889E-3</v>
      </c>
      <c r="E7" s="2">
        <v>0.19</v>
      </c>
      <c r="F7" s="2">
        <v>0.02</v>
      </c>
      <c r="G7" s="2">
        <v>0.02</v>
      </c>
      <c r="H7" s="2">
        <v>0.02</v>
      </c>
    </row>
    <row r="8" spans="1:10" x14ac:dyDescent="0.25">
      <c r="A8" s="2" t="s">
        <v>36</v>
      </c>
      <c r="B8" s="2">
        <v>3.5</v>
      </c>
      <c r="C8" s="2">
        <v>0.67</v>
      </c>
      <c r="D8" s="2">
        <f t="shared" si="0"/>
        <v>7.3814388091725889E-3</v>
      </c>
      <c r="E8" s="2">
        <v>0.19</v>
      </c>
      <c r="F8" s="2">
        <v>0.03</v>
      </c>
      <c r="G8" s="2">
        <v>0.03</v>
      </c>
      <c r="H8" s="2">
        <v>0.03</v>
      </c>
    </row>
    <row r="9" spans="1:10" x14ac:dyDescent="0.25">
      <c r="A9" s="2" t="s">
        <v>37</v>
      </c>
      <c r="B9" s="2">
        <v>3.5</v>
      </c>
      <c r="C9" s="2">
        <v>3.5</v>
      </c>
      <c r="D9" s="2">
        <f t="shared" si="0"/>
        <v>7.3814388091725889E-3</v>
      </c>
      <c r="E9" s="2">
        <v>0.19</v>
      </c>
      <c r="F9" s="2">
        <v>0.04</v>
      </c>
      <c r="G9" s="2">
        <v>0.04</v>
      </c>
      <c r="H9" s="2">
        <v>0.04</v>
      </c>
    </row>
    <row r="10" spans="1:10" x14ac:dyDescent="0.25">
      <c r="A10" s="2" t="s">
        <v>38</v>
      </c>
      <c r="B10" s="2">
        <v>5.5</v>
      </c>
      <c r="C10" s="2">
        <v>9.1999999999999993</v>
      </c>
      <c r="D10" s="2">
        <f t="shared" si="0"/>
        <v>7.3814388091725889E-3</v>
      </c>
      <c r="E10" s="2">
        <f>0.00247*453.592/0.7457</f>
        <v>1.5024436636717178</v>
      </c>
      <c r="F10" s="2">
        <v>0.8</v>
      </c>
      <c r="G10" s="2">
        <v>0.8</v>
      </c>
      <c r="H10" s="2">
        <v>0.8</v>
      </c>
    </row>
    <row r="11" spans="1:10" x14ac:dyDescent="0.25">
      <c r="A11" s="2" t="s">
        <v>39</v>
      </c>
      <c r="B11" s="2">
        <v>5</v>
      </c>
      <c r="C11" s="2">
        <v>7.5</v>
      </c>
      <c r="D11" s="2">
        <f t="shared" si="0"/>
        <v>7.3814388091725889E-3</v>
      </c>
      <c r="E11" s="2">
        <f>0.00247*453.592/0.7457</f>
        <v>1.5024436636717178</v>
      </c>
      <c r="F11" s="2">
        <v>0.4</v>
      </c>
      <c r="G11" s="2">
        <v>0.4</v>
      </c>
      <c r="H11" s="2">
        <v>0.4</v>
      </c>
    </row>
    <row r="12" spans="1:10" x14ac:dyDescent="0.25">
      <c r="A12" s="2" t="s">
        <v>42</v>
      </c>
      <c r="B12" s="2">
        <v>5</v>
      </c>
      <c r="C12" s="2">
        <v>4</v>
      </c>
      <c r="D12" s="2">
        <f t="shared" si="0"/>
        <v>7.3814388091725889E-3</v>
      </c>
      <c r="E12" s="2">
        <f>0.00247*453.592/0.7457</f>
        <v>1.5024436636717178</v>
      </c>
      <c r="F12" s="2">
        <v>0.3</v>
      </c>
      <c r="G12" s="2">
        <v>0.3</v>
      </c>
      <c r="H12" s="2">
        <v>0.3</v>
      </c>
    </row>
    <row r="13" spans="1:10" x14ac:dyDescent="0.25">
      <c r="A13" s="2" t="s">
        <v>41</v>
      </c>
      <c r="B13" s="2">
        <v>3.5</v>
      </c>
      <c r="C13" s="2">
        <v>4</v>
      </c>
      <c r="D13" s="2">
        <f t="shared" si="0"/>
        <v>7.3814388091725889E-3</v>
      </c>
      <c r="E13" s="2">
        <v>1.3</v>
      </c>
      <c r="F13" s="2">
        <v>0.2</v>
      </c>
      <c r="G13" s="2">
        <v>0.2</v>
      </c>
      <c r="H13" s="2">
        <v>0.2</v>
      </c>
    </row>
    <row r="14" spans="1:10" x14ac:dyDescent="0.25">
      <c r="A14" s="2" t="s">
        <v>40</v>
      </c>
      <c r="B14" s="2">
        <v>3.5</v>
      </c>
      <c r="C14" s="2">
        <v>6.4</v>
      </c>
      <c r="D14" s="2">
        <f t="shared" si="0"/>
        <v>7.3814388091725889E-3</v>
      </c>
      <c r="E14" s="2">
        <v>1.3</v>
      </c>
      <c r="F14" s="2">
        <v>0.2</v>
      </c>
      <c r="G14" s="2">
        <v>0.2</v>
      </c>
      <c r="H14" s="2">
        <v>0.2</v>
      </c>
    </row>
    <row r="15" spans="1:10" x14ac:dyDescent="0.25">
      <c r="A15" s="2" t="s">
        <v>9</v>
      </c>
      <c r="B15" s="2">
        <f>0.00668*453.592/0.7457</f>
        <v>4.0632889365696663</v>
      </c>
      <c r="C15" s="2">
        <f>0.031*453.592/0.7457</f>
        <v>18.856580394260426</v>
      </c>
      <c r="D15" s="2">
        <f t="shared" si="0"/>
        <v>7.3814388091725889E-3</v>
      </c>
      <c r="E15" s="2">
        <f>0.00247*453.592/0.7457</f>
        <v>1.5024436636717178</v>
      </c>
      <c r="F15" s="2">
        <f>0.0022*453.592/0.7457</f>
        <v>1.3382089312055787</v>
      </c>
      <c r="G15" s="2">
        <f>0.0022*453.592/0.7457</f>
        <v>1.3382089312055787</v>
      </c>
      <c r="H15" s="2">
        <f>0.0022*453.592/0.7457</f>
        <v>1.3382089312055787</v>
      </c>
    </row>
    <row r="16" spans="1:10" x14ac:dyDescent="0.25">
      <c r="A16" s="2" t="s">
        <v>51</v>
      </c>
      <c r="B16" s="2">
        <f>3.72*8415*453.592/1000000/0.7457</f>
        <v>19.041374882124178</v>
      </c>
      <c r="C16" s="2">
        <f>2.27*8415*453.592/1000000/0.7457</f>
        <v>11.619333597425236</v>
      </c>
      <c r="D16" s="2">
        <f>0.000588*8415*453.592/0.7457/1000000</f>
        <v>3.0097657071744667E-3</v>
      </c>
      <c r="E16" s="2">
        <f>0.0296*8415*453.592/1000000/0.7457</f>
        <v>0.15151201519109561</v>
      </c>
      <c r="F16" s="2">
        <f>(0.00991+0.0095)*8415*453.592/0.7457/1000000</f>
        <v>9.9352980231728574E-2</v>
      </c>
      <c r="G16" s="2">
        <f>(0.00991+0.0095)*8415*453.592/0.7457/1000000</f>
        <v>9.9352980231728574E-2</v>
      </c>
      <c r="H16" s="2">
        <f>(0.00991+0.0095)*8415*453.592/0.7457/1000000</f>
        <v>9.9352980231728574E-2</v>
      </c>
    </row>
    <row r="17" spans="1:8" x14ac:dyDescent="0.25">
      <c r="A17" s="2" t="s">
        <v>52</v>
      </c>
      <c r="B17" s="2">
        <f>0.557*8415*453.592/1000000/0.7457</f>
        <v>2.8510875831567661</v>
      </c>
      <c r="C17" s="2">
        <f>4.08*8415*453.592/1000000/0.7457</f>
        <v>20.884088580394256</v>
      </c>
      <c r="D17" s="2">
        <f>0.000588*8415*453.592/1000000/0.7457</f>
        <v>3.0097657071744663E-3</v>
      </c>
      <c r="E17" s="2">
        <f>0.118*8415*453.592/1000000/0.7457</f>
        <v>0.60400060109963782</v>
      </c>
      <c r="F17" s="2">
        <f>(0.0000771+0.0091)*8415*453.592/1000000/0.7457</f>
        <v>4.6974355223317686E-2</v>
      </c>
      <c r="G17" s="2">
        <f>(0.0000771+0.0091)*8415*453.592/1000000/0.7457</f>
        <v>4.6974355223317686E-2</v>
      </c>
      <c r="H17" s="2">
        <f>(0.0000771+0.0091)*8415*453.592/1000000/0.7457</f>
        <v>4.6974355223317686E-2</v>
      </c>
    </row>
    <row r="18" spans="1:8" x14ac:dyDescent="0.25">
      <c r="A18" s="2" t="s">
        <v>53</v>
      </c>
      <c r="B18" s="2">
        <f>3.72*8415*453.592/1000000/0.7457</f>
        <v>19.041374882124178</v>
      </c>
      <c r="C18" s="2">
        <f>2.27*8415*453.592/1000000/0.7457</f>
        <v>11.619333597425236</v>
      </c>
      <c r="D18" s="2">
        <f>0.000588*8415*453.592/0.7457/1000000</f>
        <v>3.0097657071744667E-3</v>
      </c>
      <c r="E18" s="2">
        <f>0.0296*8415*453.592/1000000/0.7457</f>
        <v>0.15151201519109561</v>
      </c>
      <c r="F18" s="2">
        <f>(0.00991+0.0095)*8415*453.592/0.7457/1000000</f>
        <v>9.9352980231728574E-2</v>
      </c>
      <c r="G18" s="2">
        <f>(0.00991+0.0095)*8415*453.592/0.7457/1000000</f>
        <v>9.9352980231728574E-2</v>
      </c>
      <c r="H18" s="2">
        <f>(0.00991+0.0095)*8415*453.592/0.7457/1000000</f>
        <v>9.9352980231728574E-2</v>
      </c>
    </row>
    <row r="19" spans="1:8" x14ac:dyDescent="0.25">
      <c r="A19" s="2" t="s">
        <v>54</v>
      </c>
      <c r="B19" s="2">
        <f>0.557*8415*453.592/1000000/0.7457</f>
        <v>2.8510875831567661</v>
      </c>
      <c r="C19" s="2">
        <f>4.08*8415*453.592/1000000/0.7457</f>
        <v>20.884088580394256</v>
      </c>
      <c r="D19" s="2">
        <f>0.000588*8415*453.592/1000000/0.7457</f>
        <v>3.0097657071744663E-3</v>
      </c>
      <c r="E19" s="2">
        <f>0.118*8415*453.592/1000000/0.7457</f>
        <v>0.60400060109963782</v>
      </c>
      <c r="F19" s="2">
        <f>(0.0000771+0.0091)*8415*453.592/1000000/0.7457</f>
        <v>4.6974355223317686E-2</v>
      </c>
      <c r="G19" s="2">
        <f>(0.0000771+0.0091)*8415*453.592/1000000/0.7457</f>
        <v>4.6974355223317686E-2</v>
      </c>
      <c r="H19" s="2">
        <f>(0.0000771+0.0091)*8415*453.592/1000000/0.7457</f>
        <v>4.6974355223317686E-2</v>
      </c>
    </row>
    <row r="20" spans="1:8" x14ac:dyDescent="0.25">
      <c r="A20" s="2" t="s">
        <v>50</v>
      </c>
      <c r="B20" s="2">
        <f>0.00696*453.592/0.7457</f>
        <v>4.2336064369049211</v>
      </c>
      <c r="C20" s="2">
        <f>0.011*453.592/0.7457</f>
        <v>6.6910446560278922</v>
      </c>
      <c r="D20" s="2">
        <f>0.000591*453.592/0.7457</f>
        <v>0.35949158106477136</v>
      </c>
      <c r="E20" s="2">
        <f>0.015*453.592/0.7457</f>
        <v>9.1241518036743994</v>
      </c>
      <c r="F20" s="2">
        <f>0.000721*453.592/0.7457</f>
        <v>0.43856756336328279</v>
      </c>
      <c r="G20" s="2">
        <f>0.000721*453.592/0.7457</f>
        <v>0.43856756336328279</v>
      </c>
      <c r="H20" s="2">
        <f>0.000721*453.592/0.7457</f>
        <v>0.43856756336328279</v>
      </c>
    </row>
    <row r="21" spans="1:8" x14ac:dyDescent="0.25">
      <c r="A21" s="2" t="s">
        <v>23</v>
      </c>
      <c r="B21" s="2">
        <v>6.5</v>
      </c>
      <c r="C21" s="2">
        <v>3.8</v>
      </c>
      <c r="D21" s="2">
        <f>0.000588*8415*453.592/0.7457/1000000</f>
        <v>3.0097657071744667E-3</v>
      </c>
      <c r="E21" s="2">
        <f>0.0296*8415*453.592/1000000/0.7457</f>
        <v>0.15151201519109561</v>
      </c>
      <c r="F21" s="2">
        <f t="shared" ref="F21:H22" si="1">(0.00991+0.0095)*8415*453.592/0.7457/1000000</f>
        <v>9.9352980231728574E-2</v>
      </c>
      <c r="G21" s="2">
        <f t="shared" si="1"/>
        <v>9.9352980231728574E-2</v>
      </c>
      <c r="H21" s="2">
        <f t="shared" si="1"/>
        <v>9.9352980231728574E-2</v>
      </c>
    </row>
    <row r="22" spans="1:8" x14ac:dyDescent="0.25">
      <c r="A22" s="2" t="s">
        <v>24</v>
      </c>
      <c r="B22" s="2">
        <f>3.72*8415*453.592/1000000/0.7457</f>
        <v>19.041374882124178</v>
      </c>
      <c r="C22" s="2">
        <f>2.27*8415*453.592/1000000/0.7457</f>
        <v>11.619333597425236</v>
      </c>
      <c r="D22" s="2">
        <f>0.000588*8415*453.592/0.7457/1000000</f>
        <v>3.0097657071744667E-3</v>
      </c>
      <c r="E22" s="2">
        <f>0.0296*8415*453.592/1000000/0.7457</f>
        <v>0.15151201519109561</v>
      </c>
      <c r="F22" s="2">
        <f t="shared" si="1"/>
        <v>9.9352980231728574E-2</v>
      </c>
      <c r="G22" s="2">
        <f t="shared" si="1"/>
        <v>9.9352980231728574E-2</v>
      </c>
      <c r="H22" s="2">
        <f t="shared" si="1"/>
        <v>9.9352980231728574E-2</v>
      </c>
    </row>
    <row r="23" spans="1:8" x14ac:dyDescent="0.25">
      <c r="A23" s="2" t="s">
        <v>27</v>
      </c>
      <c r="B23" s="2">
        <f>4/0.7457</f>
        <v>5.3640874346251843</v>
      </c>
      <c r="C23" s="2">
        <f>2/0.7457</f>
        <v>2.6820437173125922</v>
      </c>
      <c r="D23" s="2">
        <f>0.000588*8415*453.592/0.7457/1000000</f>
        <v>3.0097657071744667E-3</v>
      </c>
      <c r="E23" s="2">
        <f>1/0.7457</f>
        <v>1.3410218586562961</v>
      </c>
      <c r="F23" s="2">
        <f t="shared" ref="F23:H24" si="2">(0.0000771+0.0091)*8415*453.592/1000000/0.7457</f>
        <v>4.6974355223317686E-2</v>
      </c>
      <c r="G23" s="2">
        <f t="shared" si="2"/>
        <v>4.6974355223317686E-2</v>
      </c>
      <c r="H23" s="2">
        <f t="shared" si="2"/>
        <v>4.6974355223317686E-2</v>
      </c>
    </row>
    <row r="24" spans="1:8" x14ac:dyDescent="0.25">
      <c r="A24" s="2" t="s">
        <v>29</v>
      </c>
      <c r="B24" s="2">
        <f>0.557*8415*453.592/1000000/0.7457</f>
        <v>2.8510875831567661</v>
      </c>
      <c r="C24" s="2">
        <f>4.08*8415*453.592/1000000/0.7457</f>
        <v>20.884088580394256</v>
      </c>
      <c r="D24" s="2">
        <f>0.000588*8415*453.592/1000000/0.7457</f>
        <v>3.0097657071744663E-3</v>
      </c>
      <c r="E24" s="2">
        <f>0.118*8415*453.592/1000000/0.7457</f>
        <v>0.60400060109963782</v>
      </c>
      <c r="F24" s="2">
        <f t="shared" si="2"/>
        <v>4.6974355223317686E-2</v>
      </c>
      <c r="G24" s="2">
        <f t="shared" si="2"/>
        <v>4.6974355223317686E-2</v>
      </c>
      <c r="H24" s="2">
        <f t="shared" si="2"/>
        <v>4.6974355223317686E-2</v>
      </c>
    </row>
    <row r="25" spans="1:8" x14ac:dyDescent="0.25">
      <c r="A25" s="2" t="s">
        <v>25</v>
      </c>
      <c r="B25" s="2">
        <f>387/0.7457</f>
        <v>518.9754592999866</v>
      </c>
      <c r="C25" s="2">
        <f>10/0.7457</f>
        <v>13.41021858656296</v>
      </c>
      <c r="D25" s="2">
        <f>0.000588*8415*453.592/0.7457/1000000</f>
        <v>3.0097657071744667E-3</v>
      </c>
      <c r="E25" s="2">
        <f>0.118*8415*453.592/1000000/0.7457</f>
        <v>0.60400060109963782</v>
      </c>
      <c r="F25" s="2">
        <f t="shared" ref="F25:H26" si="3">(0.00991+0.0095)*8415*453.592/0.7457/1000000</f>
        <v>9.9352980231728574E-2</v>
      </c>
      <c r="G25" s="2">
        <f t="shared" si="3"/>
        <v>9.9352980231728574E-2</v>
      </c>
      <c r="H25" s="2">
        <f t="shared" si="3"/>
        <v>9.9352980231728574E-2</v>
      </c>
    </row>
    <row r="26" spans="1:8" x14ac:dyDescent="0.25">
      <c r="A26" s="2" t="s">
        <v>26</v>
      </c>
      <c r="B26" s="2">
        <f>4/0.7457</f>
        <v>5.3640874346251843</v>
      </c>
      <c r="C26" s="2">
        <f>2/0.7457</f>
        <v>2.6820437173125922</v>
      </c>
      <c r="D26" s="2">
        <f>0.000588*8415*453.592/0.7457/1000000</f>
        <v>3.0097657071744667E-3</v>
      </c>
      <c r="E26" s="2">
        <f>1/0.7457</f>
        <v>1.3410218586562961</v>
      </c>
      <c r="F26" s="2">
        <f t="shared" si="3"/>
        <v>9.9352980231728574E-2</v>
      </c>
      <c r="G26" s="2">
        <f t="shared" si="3"/>
        <v>9.9352980231728574E-2</v>
      </c>
      <c r="H26" s="2">
        <f t="shared" si="3"/>
        <v>9.9352980231728574E-2</v>
      </c>
    </row>
    <row r="27" spans="1:8" x14ac:dyDescent="0.25">
      <c r="A27" s="2" t="s">
        <v>28</v>
      </c>
      <c r="B27" s="2">
        <f>4/0.7457</f>
        <v>5.3640874346251843</v>
      </c>
      <c r="C27" s="2">
        <f>2/0.7457</f>
        <v>2.6820437173125922</v>
      </c>
      <c r="D27" s="2">
        <f>0.000588*8415*453.592/0.7457/1000000</f>
        <v>3.0097657071744667E-3</v>
      </c>
      <c r="E27" s="2">
        <f>1/0.7457</f>
        <v>1.3410218586562961</v>
      </c>
      <c r="F27" s="2">
        <f>(0.0000771+0.0091)*8415*453.592/1000000/0.7457</f>
        <v>4.6974355223317686E-2</v>
      </c>
      <c r="G27" s="2">
        <f>(0.0000771+0.0091)*8415*453.592/1000000/0.7457</f>
        <v>4.6974355223317686E-2</v>
      </c>
      <c r="H27" s="2">
        <f>(0.0000771+0.0091)*8415*453.592/1000000/0.7457</f>
        <v>4.6974355223317686E-2</v>
      </c>
    </row>
    <row r="28" spans="1:8" x14ac:dyDescent="0.25">
      <c r="A28" s="2" t="s">
        <v>30</v>
      </c>
      <c r="B28" s="2">
        <f>3.72*8415*453.592/1000000/0.7457</f>
        <v>19.041374882124178</v>
      </c>
      <c r="C28" s="2">
        <f>2.27*8415*453.592/1000000/0.7457</f>
        <v>11.619333597425236</v>
      </c>
      <c r="D28" s="2">
        <f>0.000588*8415*453.592/0.7457/1000000</f>
        <v>3.0097657071744667E-3</v>
      </c>
      <c r="E28" s="2">
        <f>0.0296*8415*453.592/1000000/0.7457</f>
        <v>0.15151201519109561</v>
      </c>
      <c r="F28" s="2">
        <f>(0.00991+0.0095)*8415*453.592/0.7457/1000000</f>
        <v>9.9352980231728574E-2</v>
      </c>
      <c r="G28" s="2">
        <f>(0.00991+0.0095)*8415*453.592/0.7457/1000000</f>
        <v>9.9352980231728574E-2</v>
      </c>
      <c r="H28" s="2">
        <f>(0.00991+0.0095)*8415*453.592/0.7457/1000000</f>
        <v>9.9352980231728574E-2</v>
      </c>
    </row>
    <row r="29" spans="1:8" x14ac:dyDescent="0.25">
      <c r="A29" s="2" t="s">
        <v>31</v>
      </c>
      <c r="B29" s="2">
        <f>0.557*8415*453.592/1000000/0.7457</f>
        <v>2.8510875831567661</v>
      </c>
      <c r="C29" s="2">
        <f>4.08*8415*453.592/1000000/0.7457</f>
        <v>20.884088580394256</v>
      </c>
      <c r="D29" s="2">
        <f>0.000588*8415*453.592/1000000/0.7457</f>
        <v>3.0097657071744663E-3</v>
      </c>
      <c r="E29" s="2">
        <f>0.118*8415*453.592/1000000/0.7457</f>
        <v>0.60400060109963782</v>
      </c>
      <c r="F29" s="2">
        <f>(0.0000771+0.0091)*8415*453.592/1000000/0.7457</f>
        <v>4.6974355223317686E-2</v>
      </c>
      <c r="G29" s="2">
        <f>(0.0000771+0.0091)*8415*453.592/1000000/0.7457</f>
        <v>4.6974355223317686E-2</v>
      </c>
      <c r="H29" s="2">
        <f>(0.0000771+0.0091)*8415*453.592/1000000/0.7457</f>
        <v>4.6974355223317686E-2</v>
      </c>
    </row>
    <row r="30" spans="1:8" x14ac:dyDescent="0.25">
      <c r="A30" s="2" t="s">
        <v>20</v>
      </c>
      <c r="B30" s="2">
        <f>0.00696*453.592/0.7457</f>
        <v>4.2336064369049211</v>
      </c>
      <c r="C30" s="2">
        <f>0.011*453.592/0.7457</f>
        <v>6.6910446560278922</v>
      </c>
      <c r="D30" s="2">
        <f>0.000591*453.592/0.7457</f>
        <v>0.35949158106477136</v>
      </c>
      <c r="E30" s="2">
        <f>0.015*453.592/0.7457</f>
        <v>9.1241518036743994</v>
      </c>
      <c r="F30" s="2">
        <f>0.000721*453.592/0.7457</f>
        <v>0.43856756336328279</v>
      </c>
      <c r="G30" s="2">
        <f>0.000721*453.592/0.7457</f>
        <v>0.43856756336328279</v>
      </c>
      <c r="H30" s="2">
        <f>0.000721*453.592/0.7457</f>
        <v>0.43856756336328279</v>
      </c>
    </row>
    <row r="31" spans="1:8" x14ac:dyDescent="0.25">
      <c r="A31" s="2" t="s">
        <v>32</v>
      </c>
      <c r="B31" s="2">
        <f>5/0.7457</f>
        <v>6.7051092932814802</v>
      </c>
      <c r="C31" s="2">
        <f>3/0.7457</f>
        <v>4.0230655759688885</v>
      </c>
      <c r="D31" s="2">
        <f>0.000588*8415*453.592/0.7457/1000000</f>
        <v>3.0097657071744667E-3</v>
      </c>
      <c r="E31" s="2">
        <f>1/0.7457</f>
        <v>1.3410218586562961</v>
      </c>
      <c r="F31" s="2">
        <f>(0.00991+0.0095)*8415*453.592/0.7457/1000000</f>
        <v>9.9352980231728574E-2</v>
      </c>
      <c r="G31" s="2">
        <f>(0.00991+0.0095)*8415*453.592/0.7457/1000000</f>
        <v>9.9352980231728574E-2</v>
      </c>
      <c r="H31" s="2">
        <f>(0.00991+0.0095)*8415*453.592/0.7457/1000000</f>
        <v>9.9352980231728574E-2</v>
      </c>
    </row>
    <row r="34" spans="1:14" ht="59.25" customHeight="1" x14ac:dyDescent="0.25">
      <c r="A34" s="72" t="s">
        <v>33</v>
      </c>
      <c r="B34" s="72"/>
      <c r="C34" s="72"/>
      <c r="D34" s="72"/>
      <c r="E34" s="72"/>
      <c r="F34" s="72"/>
      <c r="G34" s="72"/>
      <c r="H34" s="72"/>
      <c r="I34" s="72"/>
      <c r="J34" s="72"/>
      <c r="K34" s="72"/>
      <c r="L34" s="72"/>
      <c r="M34" s="72"/>
      <c r="N34" s="72"/>
    </row>
  </sheetData>
  <mergeCells count="3">
    <mergeCell ref="A34:N34"/>
    <mergeCell ref="A1:J1"/>
    <mergeCell ref="A2:J2"/>
  </mergeCells>
  <pageMargins left="0.7" right="0.7" top="0.75" bottom="0.75" header="0.3" footer="0.3"/>
  <pageSetup orientation="portrait" copie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M45"/>
  <sheetViews>
    <sheetView workbookViewId="0">
      <selection activeCell="A3" sqref="A3"/>
    </sheetView>
  </sheetViews>
  <sheetFormatPr defaultRowHeight="15" x14ac:dyDescent="0.25"/>
  <cols>
    <col min="2" max="2" width="13.5703125" customWidth="1"/>
    <col min="5" max="5" width="12.42578125" bestFit="1" customWidth="1"/>
  </cols>
  <sheetData>
    <row r="1" spans="1:13" ht="15.75" x14ac:dyDescent="0.25">
      <c r="A1" s="73" t="s">
        <v>93</v>
      </c>
      <c r="B1" s="73"/>
      <c r="C1" s="73"/>
      <c r="D1" s="73"/>
      <c r="E1" s="73"/>
      <c r="F1" s="73"/>
      <c r="G1" s="73"/>
      <c r="H1" s="73"/>
      <c r="I1" s="73"/>
      <c r="J1" s="73"/>
      <c r="K1" s="73"/>
      <c r="L1" s="73"/>
      <c r="M1" s="73"/>
    </row>
    <row r="2" spans="1:13" x14ac:dyDescent="0.25">
      <c r="A2" s="74">
        <v>42552</v>
      </c>
      <c r="B2" s="74"/>
      <c r="C2" s="74"/>
      <c r="D2" s="74"/>
      <c r="E2" s="74"/>
      <c r="F2" s="74"/>
      <c r="G2" s="74"/>
      <c r="H2" s="74"/>
      <c r="I2" s="74"/>
      <c r="J2" s="74"/>
      <c r="K2" s="74"/>
      <c r="L2" s="74"/>
      <c r="M2" s="74"/>
    </row>
    <row r="4" spans="1:13" ht="15.75" thickBot="1" x14ac:dyDescent="0.3">
      <c r="A4" s="20" t="s">
        <v>94</v>
      </c>
      <c r="B4" s="20" t="s">
        <v>90</v>
      </c>
      <c r="C4" s="21"/>
      <c r="D4" s="22"/>
      <c r="E4" s="23"/>
      <c r="F4" s="21"/>
      <c r="G4" s="21"/>
      <c r="H4" s="21"/>
      <c r="I4" s="21"/>
      <c r="J4" s="21"/>
      <c r="K4" s="21"/>
      <c r="L4" s="21"/>
      <c r="M4" s="21"/>
    </row>
    <row r="5" spans="1:13" x14ac:dyDescent="0.25">
      <c r="A5" s="21"/>
      <c r="B5" s="24"/>
      <c r="C5" s="25"/>
      <c r="D5" s="25"/>
      <c r="E5" s="25"/>
      <c r="F5" s="25"/>
      <c r="G5" s="25"/>
      <c r="H5" s="25" t="s">
        <v>95</v>
      </c>
      <c r="I5" s="25"/>
      <c r="J5" s="25"/>
      <c r="K5" s="26"/>
      <c r="L5" s="27"/>
      <c r="M5" s="28"/>
    </row>
    <row r="6" spans="1:13" ht="15.75" x14ac:dyDescent="0.3">
      <c r="A6" s="28"/>
      <c r="B6" s="29"/>
      <c r="C6" s="28"/>
      <c r="D6" s="28"/>
      <c r="E6" s="30" t="s">
        <v>4</v>
      </c>
      <c r="F6" s="30" t="s">
        <v>96</v>
      </c>
      <c r="G6" s="30" t="s">
        <v>97</v>
      </c>
      <c r="H6" s="30" t="s">
        <v>98</v>
      </c>
      <c r="I6" s="30" t="s">
        <v>99</v>
      </c>
      <c r="J6" s="30" t="s">
        <v>0</v>
      </c>
      <c r="K6" s="30" t="s">
        <v>3</v>
      </c>
      <c r="L6" s="31" t="s">
        <v>100</v>
      </c>
      <c r="M6" s="28"/>
    </row>
    <row r="7" spans="1:13" ht="15.75" thickBot="1" x14ac:dyDescent="0.3">
      <c r="A7" s="28"/>
      <c r="B7" s="32" t="s">
        <v>101</v>
      </c>
      <c r="C7" s="33"/>
      <c r="D7" s="34"/>
      <c r="E7" s="35">
        <v>7.6</v>
      </c>
      <c r="F7" s="35">
        <v>7.6</v>
      </c>
      <c r="G7" s="35">
        <v>7.6</v>
      </c>
      <c r="H7" s="35">
        <v>0.6</v>
      </c>
      <c r="I7" s="35">
        <v>100</v>
      </c>
      <c r="J7" s="35">
        <v>84</v>
      </c>
      <c r="K7" s="36">
        <v>5.5</v>
      </c>
      <c r="L7" s="37">
        <v>1.8869</v>
      </c>
      <c r="M7" s="28"/>
    </row>
    <row r="8" spans="1:13" ht="15.75" thickTop="1" x14ac:dyDescent="0.25">
      <c r="A8" s="28"/>
      <c r="B8" s="29"/>
      <c r="C8" s="28"/>
      <c r="D8" s="28"/>
      <c r="E8" s="38"/>
      <c r="F8" s="38"/>
      <c r="G8" s="38"/>
      <c r="H8" s="38"/>
      <c r="I8" s="38"/>
      <c r="J8" s="38"/>
      <c r="K8" s="38"/>
      <c r="L8" s="39"/>
      <c r="M8" s="28"/>
    </row>
    <row r="9" spans="1:13" x14ac:dyDescent="0.25">
      <c r="A9" s="21"/>
      <c r="B9" s="40" t="s">
        <v>102</v>
      </c>
      <c r="C9" s="28"/>
      <c r="D9" s="28"/>
      <c r="E9" s="41"/>
      <c r="F9" s="42"/>
      <c r="G9" s="42"/>
      <c r="H9" s="42"/>
      <c r="I9" s="42"/>
      <c r="J9" s="42"/>
      <c r="K9" s="42"/>
      <c r="L9" s="28"/>
      <c r="M9" s="28"/>
    </row>
    <row r="10" spans="1:13" x14ac:dyDescent="0.25">
      <c r="A10" s="21"/>
      <c r="B10" s="28" t="s">
        <v>103</v>
      </c>
      <c r="C10" s="28"/>
      <c r="D10" s="28"/>
      <c r="E10" s="41"/>
      <c r="F10" s="42"/>
      <c r="G10" s="42"/>
      <c r="H10" s="42"/>
      <c r="I10" s="42"/>
      <c r="J10" s="42"/>
      <c r="K10" s="42"/>
      <c r="L10" s="28"/>
      <c r="M10" s="28"/>
    </row>
    <row r="11" spans="1:13" ht="15.75" x14ac:dyDescent="0.3">
      <c r="A11" s="21"/>
      <c r="B11" s="21" t="s">
        <v>104</v>
      </c>
      <c r="C11" s="21"/>
      <c r="D11" s="21"/>
      <c r="E11" s="21"/>
      <c r="F11" s="21"/>
      <c r="G11" s="21"/>
      <c r="H11" s="21"/>
      <c r="I11" s="21"/>
      <c r="J11" s="21"/>
      <c r="K11" s="21"/>
      <c r="L11" s="21"/>
      <c r="M11" s="21"/>
    </row>
    <row r="12" spans="1:13" x14ac:dyDescent="0.25">
      <c r="A12" s="21"/>
      <c r="B12" s="21"/>
      <c r="C12" s="21"/>
      <c r="D12" s="21"/>
      <c r="E12" s="21"/>
      <c r="F12" s="21"/>
      <c r="G12" s="21"/>
      <c r="H12" s="21"/>
      <c r="I12" s="21"/>
      <c r="J12" s="21"/>
      <c r="K12" s="21"/>
      <c r="L12" s="21"/>
      <c r="M12" s="21"/>
    </row>
    <row r="13" spans="1:13" x14ac:dyDescent="0.25">
      <c r="A13" s="21"/>
      <c r="B13" s="20" t="s">
        <v>105</v>
      </c>
      <c r="C13" s="21"/>
      <c r="D13" s="21"/>
      <c r="E13" s="21"/>
      <c r="F13" s="21"/>
      <c r="G13" s="21"/>
      <c r="H13" s="21"/>
      <c r="I13" s="21"/>
      <c r="J13" s="21"/>
      <c r="K13" s="21"/>
      <c r="L13" s="21"/>
      <c r="M13" s="21"/>
    </row>
    <row r="14" spans="1:13" x14ac:dyDescent="0.25">
      <c r="A14" s="21"/>
      <c r="B14" s="21" t="s">
        <v>106</v>
      </c>
      <c r="C14" s="21"/>
      <c r="D14" s="21"/>
      <c r="E14" s="21"/>
      <c r="F14" s="21"/>
      <c r="G14" s="21"/>
      <c r="H14" s="21"/>
      <c r="I14" s="21"/>
      <c r="J14" s="21"/>
      <c r="K14" s="21"/>
      <c r="L14" s="21"/>
      <c r="M14" s="21"/>
    </row>
    <row r="15" spans="1:13" x14ac:dyDescent="0.25">
      <c r="A15" s="21"/>
      <c r="B15" s="21"/>
      <c r="C15" s="21"/>
      <c r="D15" s="21"/>
      <c r="E15" s="21"/>
      <c r="F15" s="21"/>
      <c r="G15" s="21"/>
      <c r="H15" s="21"/>
      <c r="I15" s="21"/>
      <c r="J15" s="21"/>
      <c r="K15" s="21"/>
      <c r="L15" s="21"/>
      <c r="M15" s="21"/>
    </row>
    <row r="16" spans="1:13" x14ac:dyDescent="0.25">
      <c r="A16" s="21"/>
      <c r="B16" s="21"/>
      <c r="C16" s="21"/>
      <c r="D16" s="21"/>
      <c r="E16" s="21"/>
      <c r="F16" s="21"/>
      <c r="G16" s="21"/>
      <c r="H16" s="21"/>
      <c r="I16" s="21"/>
      <c r="J16" s="21"/>
      <c r="K16" s="21"/>
      <c r="L16" s="21"/>
      <c r="M16" s="21"/>
    </row>
    <row r="17" spans="1:13" ht="15.75" thickBot="1" x14ac:dyDescent="0.3">
      <c r="A17" s="20" t="s">
        <v>94</v>
      </c>
      <c r="B17" s="20" t="s">
        <v>107</v>
      </c>
      <c r="C17" s="21"/>
      <c r="D17" s="22"/>
      <c r="E17" s="23"/>
      <c r="F17" s="21"/>
      <c r="G17" s="21" t="s">
        <v>108</v>
      </c>
      <c r="H17" s="21"/>
      <c r="I17" s="43">
        <f>[1]Inputs!H32</f>
        <v>1.5E-3</v>
      </c>
      <c r="J17" s="21" t="s">
        <v>109</v>
      </c>
      <c r="K17" s="21"/>
      <c r="L17" s="21"/>
      <c r="M17" s="21"/>
    </row>
    <row r="18" spans="1:13" x14ac:dyDescent="0.25">
      <c r="A18" s="21"/>
      <c r="B18" s="24"/>
      <c r="C18" s="25"/>
      <c r="D18" s="25"/>
      <c r="E18" s="25"/>
      <c r="F18" s="25"/>
      <c r="G18" s="25"/>
      <c r="H18" s="25" t="s">
        <v>95</v>
      </c>
      <c r="I18" s="25"/>
      <c r="J18" s="25"/>
      <c r="K18" s="26"/>
      <c r="L18" s="27"/>
      <c r="M18" s="28"/>
    </row>
    <row r="19" spans="1:13" ht="15.75" x14ac:dyDescent="0.3">
      <c r="A19" s="28"/>
      <c r="B19" s="29"/>
      <c r="C19" s="28"/>
      <c r="D19" s="28"/>
      <c r="E19" s="30" t="s">
        <v>4</v>
      </c>
      <c r="F19" s="30" t="s">
        <v>96</v>
      </c>
      <c r="G19" s="30" t="s">
        <v>97</v>
      </c>
      <c r="H19" s="30" t="s">
        <v>98</v>
      </c>
      <c r="I19" s="30" t="s">
        <v>99</v>
      </c>
      <c r="J19" s="30" t="s">
        <v>0</v>
      </c>
      <c r="K19" s="30" t="s">
        <v>3</v>
      </c>
      <c r="L19" s="31" t="s">
        <v>100</v>
      </c>
      <c r="M19" s="28"/>
    </row>
    <row r="20" spans="1:13" ht="15.75" thickBot="1" x14ac:dyDescent="0.3">
      <c r="A20" s="28"/>
      <c r="B20" s="32" t="s">
        <v>110</v>
      </c>
      <c r="C20" s="33"/>
      <c r="D20" s="34"/>
      <c r="E20" s="35">
        <v>0.7</v>
      </c>
      <c r="F20" s="35">
        <v>0.7</v>
      </c>
      <c r="G20" s="35">
        <v>0.7</v>
      </c>
      <c r="H20" s="35">
        <f>0.1*I17</f>
        <v>1.5000000000000001E-4</v>
      </c>
      <c r="I20" s="35">
        <v>13</v>
      </c>
      <c r="J20" s="35">
        <v>7.5</v>
      </c>
      <c r="K20" s="36">
        <v>1</v>
      </c>
      <c r="L20" s="44"/>
      <c r="M20" s="28"/>
    </row>
    <row r="21" spans="1:13" ht="15.75" thickTop="1" x14ac:dyDescent="0.25">
      <c r="A21" s="21"/>
      <c r="B21" s="40" t="s">
        <v>102</v>
      </c>
      <c r="C21" s="28"/>
      <c r="D21" s="28"/>
      <c r="E21" s="41"/>
      <c r="F21" s="42"/>
      <c r="G21" s="42"/>
      <c r="H21" s="42"/>
      <c r="I21" s="42"/>
      <c r="J21" s="42"/>
      <c r="K21" s="42"/>
      <c r="L21" s="28"/>
      <c r="M21" s="28"/>
    </row>
    <row r="22" spans="1:13" x14ac:dyDescent="0.25">
      <c r="A22" s="21"/>
      <c r="B22" s="28" t="s">
        <v>111</v>
      </c>
      <c r="C22" s="28"/>
      <c r="D22" s="28"/>
      <c r="E22" s="41"/>
      <c r="F22" s="42"/>
      <c r="G22" s="42"/>
      <c r="H22" s="42"/>
      <c r="I22" s="42"/>
      <c r="J22" s="42"/>
      <c r="K22" s="42"/>
      <c r="L22" s="28"/>
      <c r="M22" s="28"/>
    </row>
    <row r="23" spans="1:13" ht="15.75" x14ac:dyDescent="0.3">
      <c r="A23" s="21"/>
      <c r="B23" s="21" t="s">
        <v>104</v>
      </c>
      <c r="C23" s="21"/>
      <c r="D23" s="21"/>
      <c r="E23" s="21"/>
      <c r="F23" s="21"/>
      <c r="G23" s="21"/>
      <c r="H23" s="21"/>
      <c r="I23" s="21"/>
      <c r="J23" s="21"/>
      <c r="K23" s="21"/>
      <c r="L23" s="21"/>
      <c r="M23" s="21"/>
    </row>
    <row r="24" spans="1:13" x14ac:dyDescent="0.25">
      <c r="A24" s="21"/>
      <c r="B24" s="21"/>
      <c r="C24" s="21"/>
      <c r="D24" s="21"/>
      <c r="E24" s="21"/>
      <c r="F24" s="21"/>
      <c r="G24" s="21"/>
      <c r="H24" s="21"/>
      <c r="I24" s="21"/>
      <c r="J24" s="21"/>
      <c r="K24" s="21"/>
      <c r="L24" s="21"/>
      <c r="M24" s="21"/>
    </row>
    <row r="25" spans="1:13" x14ac:dyDescent="0.25">
      <c r="A25" s="21"/>
      <c r="B25" s="20" t="s">
        <v>105</v>
      </c>
      <c r="C25" s="21"/>
      <c r="D25" s="21"/>
      <c r="E25" s="21"/>
      <c r="F25" s="21"/>
      <c r="G25" s="21"/>
      <c r="H25" s="21"/>
      <c r="I25" s="21"/>
      <c r="J25" s="21"/>
      <c r="K25" s="21"/>
      <c r="L25" s="21"/>
      <c r="M25" s="21"/>
    </row>
    <row r="26" spans="1:13" x14ac:dyDescent="0.25">
      <c r="A26" s="21"/>
      <c r="B26" s="21" t="s">
        <v>112</v>
      </c>
      <c r="C26" s="21"/>
      <c r="D26" s="21"/>
      <c r="E26" s="21"/>
      <c r="F26" s="21"/>
      <c r="G26" s="21"/>
      <c r="H26" s="21"/>
      <c r="I26" s="21"/>
      <c r="J26" s="21"/>
      <c r="K26" s="21"/>
      <c r="L26" s="21"/>
      <c r="M26" s="21"/>
    </row>
    <row r="27" spans="1:13" x14ac:dyDescent="0.25">
      <c r="A27" s="21"/>
      <c r="B27" s="21"/>
      <c r="C27" s="21"/>
      <c r="D27" s="21"/>
      <c r="E27" s="21"/>
      <c r="F27" s="21"/>
      <c r="G27" s="21"/>
      <c r="H27" s="21"/>
      <c r="I27" s="21"/>
      <c r="J27" s="21"/>
      <c r="K27" s="21"/>
      <c r="L27" s="21"/>
      <c r="M27" s="21"/>
    </row>
    <row r="28" spans="1:13" x14ac:dyDescent="0.25">
      <c r="A28" s="21"/>
      <c r="B28" s="21"/>
      <c r="C28" s="21"/>
      <c r="D28" s="21"/>
      <c r="E28" s="21"/>
      <c r="F28" s="21"/>
      <c r="G28" s="21"/>
      <c r="H28" s="21"/>
      <c r="I28" s="21"/>
      <c r="J28" s="21"/>
      <c r="K28" s="21"/>
      <c r="L28" s="21"/>
      <c r="M28" s="21"/>
    </row>
    <row r="29" spans="1:13" ht="15.75" thickBot="1" x14ac:dyDescent="0.3">
      <c r="A29" s="20" t="s">
        <v>94</v>
      </c>
      <c r="B29" s="20" t="s">
        <v>113</v>
      </c>
      <c r="C29" s="21"/>
      <c r="D29" s="22"/>
      <c r="E29" s="23"/>
      <c r="F29" s="21"/>
      <c r="G29" s="21" t="s">
        <v>108</v>
      </c>
      <c r="H29" s="21"/>
      <c r="I29" s="43">
        <f>[1]Inputs!H33</f>
        <v>1.5E-3</v>
      </c>
      <c r="J29" s="21" t="s">
        <v>109</v>
      </c>
      <c r="K29" s="21"/>
      <c r="L29" s="21"/>
      <c r="M29" s="21"/>
    </row>
    <row r="30" spans="1:13" x14ac:dyDescent="0.25">
      <c r="A30" s="21"/>
      <c r="B30" s="24"/>
      <c r="C30" s="25"/>
      <c r="D30" s="25"/>
      <c r="E30" s="25"/>
      <c r="F30" s="25"/>
      <c r="G30" s="25"/>
      <c r="H30" s="25" t="s">
        <v>95</v>
      </c>
      <c r="I30" s="25"/>
      <c r="J30" s="25"/>
      <c r="K30" s="26"/>
      <c r="L30" s="27"/>
      <c r="M30" s="28"/>
    </row>
    <row r="31" spans="1:13" ht="15.75" x14ac:dyDescent="0.25">
      <c r="A31" s="28"/>
      <c r="B31" s="29"/>
      <c r="C31" s="28"/>
      <c r="D31" s="28"/>
      <c r="E31" s="45" t="s">
        <v>114</v>
      </c>
      <c r="F31" s="45" t="s">
        <v>115</v>
      </c>
      <c r="G31" s="45" t="s">
        <v>97</v>
      </c>
      <c r="H31" s="45" t="s">
        <v>98</v>
      </c>
      <c r="I31" s="45" t="s">
        <v>99</v>
      </c>
      <c r="J31" s="45" t="s">
        <v>0</v>
      </c>
      <c r="K31" s="45" t="s">
        <v>3</v>
      </c>
      <c r="L31" s="46" t="s">
        <v>100</v>
      </c>
      <c r="M31" s="28"/>
    </row>
    <row r="32" spans="1:13" ht="15.75" thickBot="1" x14ac:dyDescent="0.3">
      <c r="A32" s="28"/>
      <c r="B32" s="32" t="s">
        <v>116</v>
      </c>
      <c r="C32" s="33"/>
      <c r="D32" s="33"/>
      <c r="E32" s="47">
        <v>2</v>
      </c>
      <c r="F32" s="48">
        <v>3.3</v>
      </c>
      <c r="G32" s="48">
        <v>2.5499999999999998</v>
      </c>
      <c r="H32" s="48">
        <f>142*I29</f>
        <v>0.21299999999999999</v>
      </c>
      <c r="I32" s="48">
        <v>20</v>
      </c>
      <c r="J32" s="47">
        <v>5</v>
      </c>
      <c r="K32" s="49">
        <v>0.34</v>
      </c>
      <c r="L32" s="50">
        <v>0.55369999999999997</v>
      </c>
      <c r="M32" s="28"/>
    </row>
    <row r="33" spans="1:13" ht="15.75" thickTop="1" x14ac:dyDescent="0.25">
      <c r="A33" s="21"/>
      <c r="B33" s="40" t="s">
        <v>102</v>
      </c>
      <c r="C33" s="28"/>
      <c r="D33" s="28"/>
      <c r="E33" s="41"/>
      <c r="F33" s="42"/>
      <c r="G33" s="42"/>
      <c r="H33" s="42"/>
      <c r="I33" s="42"/>
      <c r="J33" s="42"/>
      <c r="K33" s="42"/>
      <c r="L33" s="28"/>
      <c r="M33" s="28"/>
    </row>
    <row r="34" spans="1:13" x14ac:dyDescent="0.25">
      <c r="A34" s="21"/>
      <c r="B34" s="28" t="s">
        <v>117</v>
      </c>
      <c r="C34" s="28"/>
      <c r="D34" s="28"/>
      <c r="E34" s="41"/>
      <c r="F34" s="42"/>
      <c r="G34" s="42"/>
      <c r="H34" s="42"/>
      <c r="I34" s="42"/>
      <c r="J34" s="42"/>
      <c r="K34" s="42"/>
      <c r="L34" s="28"/>
      <c r="M34" s="28"/>
    </row>
    <row r="35" spans="1:13" x14ac:dyDescent="0.25">
      <c r="A35" s="21"/>
      <c r="B35" s="21" t="s">
        <v>118</v>
      </c>
      <c r="C35" s="21"/>
      <c r="D35" s="21"/>
      <c r="E35" s="21"/>
      <c r="F35" s="21"/>
      <c r="G35" s="21"/>
      <c r="H35" s="21"/>
      <c r="I35" s="21"/>
      <c r="J35" s="21"/>
      <c r="K35" s="28"/>
      <c r="L35" s="28"/>
      <c r="M35" s="28"/>
    </row>
    <row r="36" spans="1:13" x14ac:dyDescent="0.25">
      <c r="A36" s="21"/>
      <c r="B36" s="21"/>
      <c r="C36" s="21"/>
      <c r="D36" s="21"/>
      <c r="E36" s="21"/>
      <c r="F36" s="21"/>
      <c r="G36" s="21"/>
      <c r="H36" s="21"/>
      <c r="I36" s="21"/>
      <c r="J36" s="21"/>
      <c r="K36" s="21"/>
      <c r="L36" s="21"/>
      <c r="M36" s="21"/>
    </row>
    <row r="37" spans="1:13" x14ac:dyDescent="0.25">
      <c r="A37" s="21"/>
      <c r="B37" s="20" t="s">
        <v>105</v>
      </c>
      <c r="C37" s="21"/>
      <c r="D37" s="21"/>
      <c r="E37" s="21"/>
      <c r="F37" s="21"/>
      <c r="G37" s="21"/>
      <c r="H37" s="21"/>
      <c r="I37" s="21"/>
      <c r="J37" s="21"/>
      <c r="K37" s="21"/>
      <c r="L37" s="21"/>
      <c r="M37" s="21"/>
    </row>
    <row r="38" spans="1:13" x14ac:dyDescent="0.25">
      <c r="A38" s="21"/>
      <c r="B38" s="21" t="s">
        <v>119</v>
      </c>
      <c r="C38" s="21"/>
      <c r="D38" s="21"/>
      <c r="E38" s="21"/>
      <c r="F38" s="21"/>
      <c r="G38" s="21"/>
      <c r="H38" s="21"/>
      <c r="I38" s="21"/>
      <c r="J38" s="21"/>
      <c r="K38" s="21"/>
      <c r="L38" s="21"/>
      <c r="M38" s="21"/>
    </row>
    <row r="41" spans="1:13" x14ac:dyDescent="0.25">
      <c r="B41" s="6" t="s">
        <v>120</v>
      </c>
      <c r="C41" s="51" t="s">
        <v>0</v>
      </c>
      <c r="D41" s="51" t="s">
        <v>121</v>
      </c>
      <c r="E41" s="51" t="s">
        <v>122</v>
      </c>
      <c r="F41" s="51" t="s">
        <v>3</v>
      </c>
      <c r="G41" s="51" t="s">
        <v>4</v>
      </c>
      <c r="H41" s="51" t="s">
        <v>123</v>
      </c>
      <c r="I41" s="51" t="s">
        <v>124</v>
      </c>
      <c r="J41" s="52" t="s">
        <v>100</v>
      </c>
    </row>
    <row r="42" spans="1:13" x14ac:dyDescent="0.25">
      <c r="B42" s="53" t="s">
        <v>16</v>
      </c>
      <c r="C42" s="2">
        <v>0</v>
      </c>
      <c r="D42" s="2">
        <v>0</v>
      </c>
      <c r="E42" s="2">
        <v>0</v>
      </c>
      <c r="F42" s="2">
        <v>0</v>
      </c>
      <c r="G42" s="2">
        <v>0</v>
      </c>
      <c r="H42" s="2">
        <v>0</v>
      </c>
      <c r="I42" s="2">
        <v>0</v>
      </c>
      <c r="J42" s="2">
        <v>0</v>
      </c>
    </row>
    <row r="43" spans="1:13" x14ac:dyDescent="0.25">
      <c r="B43" s="53" t="s">
        <v>90</v>
      </c>
      <c r="C43" s="54">
        <f>84/1020</f>
        <v>8.2352941176470587E-2</v>
      </c>
      <c r="D43" s="54">
        <f>100/1020</f>
        <v>9.8039215686274508E-2</v>
      </c>
      <c r="E43" s="54">
        <f>0.6/1020</f>
        <v>5.8823529411764701E-4</v>
      </c>
      <c r="F43" s="55">
        <f>5.5/1020</f>
        <v>5.392156862745098E-3</v>
      </c>
      <c r="G43" s="54">
        <f>7.6/1020</f>
        <v>7.4509803921568628E-3</v>
      </c>
      <c r="H43" s="54">
        <f t="shared" ref="H43:I43" si="0">7.6/1020</f>
        <v>7.4509803921568628E-3</v>
      </c>
      <c r="I43" s="54">
        <f t="shared" si="0"/>
        <v>7.4509803921568628E-3</v>
      </c>
      <c r="J43" s="56">
        <f>1.8869/1020</f>
        <v>1.8499019607843138E-3</v>
      </c>
    </row>
    <row r="44" spans="1:13" x14ac:dyDescent="0.25">
      <c r="B44" s="53" t="s">
        <v>91</v>
      </c>
      <c r="C44" s="54">
        <f>7.5/91.5</f>
        <v>8.1967213114754092E-2</v>
      </c>
      <c r="D44" s="54">
        <f>13/91.5</f>
        <v>0.14207650273224043</v>
      </c>
      <c r="E44" s="54">
        <f>(0.1*I17)/91.5</f>
        <v>1.6393442622950821E-6</v>
      </c>
      <c r="F44" s="55">
        <f>1/91.5</f>
        <v>1.092896174863388E-2</v>
      </c>
      <c r="G44" s="54">
        <f>0.7/91.5</f>
        <v>7.650273224043715E-3</v>
      </c>
      <c r="H44" s="54">
        <f t="shared" ref="H44:I44" si="1">0.7/91.5</f>
        <v>7.650273224043715E-3</v>
      </c>
      <c r="I44" s="54">
        <f t="shared" si="1"/>
        <v>7.650273224043715E-3</v>
      </c>
      <c r="J44" s="57"/>
    </row>
    <row r="45" spans="1:13" x14ac:dyDescent="0.25">
      <c r="B45" s="53" t="s">
        <v>92</v>
      </c>
      <c r="C45" s="58">
        <f>5/140</f>
        <v>3.5714285714285712E-2</v>
      </c>
      <c r="D45" s="58">
        <f>20/140</f>
        <v>0.14285714285714285</v>
      </c>
      <c r="E45" s="58">
        <f>(142*I17)/140</f>
        <v>1.5214285714285714E-3</v>
      </c>
      <c r="F45" s="58">
        <f>0.34/140</f>
        <v>2.4285714285714288E-3</v>
      </c>
      <c r="G45" s="58">
        <f>2/140</f>
        <v>1.4285714285714285E-2</v>
      </c>
      <c r="H45" s="58">
        <f>3.3/140</f>
        <v>2.357142857142857E-2</v>
      </c>
      <c r="I45" s="58">
        <f>2.55/140</f>
        <v>1.8214285714285714E-2</v>
      </c>
      <c r="J45" s="58">
        <f>0.5537/140</f>
        <v>3.9550000000000002E-3</v>
      </c>
    </row>
  </sheetData>
  <mergeCells count="2">
    <mergeCell ref="A1:M1"/>
    <mergeCell ref="A2:M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00"/>
  </sheetPr>
  <dimension ref="A1:K45"/>
  <sheetViews>
    <sheetView tabSelected="1" workbookViewId="0">
      <selection activeCell="A2" sqref="A2:J2"/>
    </sheetView>
  </sheetViews>
  <sheetFormatPr defaultColWidth="8.7109375" defaultRowHeight="15" x14ac:dyDescent="0.25"/>
  <cols>
    <col min="1" max="1" width="13" customWidth="1"/>
    <col min="2" max="2" width="20.42578125" customWidth="1"/>
    <col min="3" max="3" width="14.7109375" customWidth="1"/>
    <col min="4" max="4" width="84.7109375" customWidth="1"/>
    <col min="7" max="7" width="12" bestFit="1" customWidth="1"/>
  </cols>
  <sheetData>
    <row r="1" spans="1:11" ht="21" x14ac:dyDescent="0.35">
      <c r="A1" s="61" t="s">
        <v>82</v>
      </c>
      <c r="B1" s="62"/>
      <c r="C1" s="62"/>
      <c r="D1" s="62"/>
      <c r="E1" s="62"/>
      <c r="F1" s="62"/>
      <c r="G1" s="62"/>
      <c r="H1" s="62"/>
      <c r="I1" s="62"/>
      <c r="J1" s="62"/>
    </row>
    <row r="2" spans="1:11" ht="15.75" x14ac:dyDescent="0.25">
      <c r="A2" s="63">
        <v>42552</v>
      </c>
      <c r="B2" s="63"/>
      <c r="C2" s="63"/>
      <c r="D2" s="63"/>
      <c r="E2" s="63"/>
      <c r="F2" s="63"/>
      <c r="G2" s="63"/>
      <c r="H2" s="63"/>
      <c r="I2" s="63"/>
      <c r="J2" s="63"/>
    </row>
    <row r="4" spans="1:11" x14ac:dyDescent="0.25">
      <c r="A4" t="s">
        <v>44</v>
      </c>
      <c r="E4" s="75" t="s">
        <v>49</v>
      </c>
      <c r="F4" s="75"/>
      <c r="G4" s="75"/>
      <c r="H4" s="75"/>
      <c r="I4" s="75"/>
      <c r="J4" s="75"/>
      <c r="K4" s="75"/>
    </row>
    <row r="5" spans="1:11" x14ac:dyDescent="0.25">
      <c r="A5" s="2" t="s">
        <v>17</v>
      </c>
      <c r="B5" s="2" t="s">
        <v>21</v>
      </c>
      <c r="C5" s="2" t="s">
        <v>22</v>
      </c>
      <c r="D5" s="2" t="s">
        <v>47</v>
      </c>
      <c r="E5" s="2" t="s">
        <v>0</v>
      </c>
      <c r="F5" s="2" t="s">
        <v>1</v>
      </c>
      <c r="G5" s="2" t="s">
        <v>2</v>
      </c>
      <c r="H5" s="2" t="s">
        <v>3</v>
      </c>
      <c r="I5" s="2" t="s">
        <v>4</v>
      </c>
      <c r="J5" s="2" t="s">
        <v>5</v>
      </c>
      <c r="K5" s="2" t="s">
        <v>6</v>
      </c>
    </row>
    <row r="6" spans="1:11" x14ac:dyDescent="0.25">
      <c r="A6" s="2">
        <f>Inputs!A23</f>
        <v>0</v>
      </c>
      <c r="B6" s="2">
        <f>Inputs!C23</f>
        <v>3450</v>
      </c>
      <c r="C6" s="2">
        <f>B6*0.7457</f>
        <v>2572.665</v>
      </c>
      <c r="D6" s="2" t="str">
        <f>Inputs!B23</f>
        <v>Diesel - Non Emergency (Prime), Model Year 2014 or later, Rating  75&lt;HP≤751HP</v>
      </c>
      <c r="E6" s="2">
        <f>(VLOOKUP(D6,'Emission Factors'!$A$5:$H$15,2,FALSE))*C6*8760/453.5928/2000</f>
        <v>86.947928736964073</v>
      </c>
      <c r="F6" s="2">
        <f>(VLOOKUP(D6,'Emission Factors'!$A$5:$H$15,3, FALSE))*C6*8760/453.592/2000</f>
        <v>9.936923667084077</v>
      </c>
      <c r="G6" s="2">
        <f>(VLOOKUP(D6,'Emission Factors'!$A$5:$H$15,4,FALSE))*C6*8760/453.592/2000</f>
        <v>0.18337198499999999</v>
      </c>
      <c r="H6" s="2">
        <f>(VLOOKUP(D6,'Emission Factors'!$A$5:$H$15,5,FALSE))*C6*8760/453.592/2000</f>
        <v>4.7200387418649363</v>
      </c>
      <c r="I6" s="2">
        <f>(VLOOKUP(D6,'Emission Factors'!$A$5:$H$15,6,FALSE))*C6*8760/453.592/2000</f>
        <v>0.49684618335420377</v>
      </c>
      <c r="J6" s="2">
        <f>(VLOOKUP(D6,'Emission Factors'!$A$5:$H$15,7,FALSE))*C6*8760/453.592/2000</f>
        <v>0.49684618335420377</v>
      </c>
      <c r="K6" s="2">
        <f>(VLOOKUP(Emissions!D6,'Emission Factors'!$A$5:$H$15,8,FALSE))*C6*8760/453.592/2000</f>
        <v>0.49684618335420377</v>
      </c>
    </row>
    <row r="7" spans="1:11" x14ac:dyDescent="0.25">
      <c r="A7" s="2">
        <f>Inputs!A24</f>
        <v>0</v>
      </c>
      <c r="B7" s="2">
        <f>Inputs!C24</f>
        <v>0</v>
      </c>
      <c r="C7" s="2">
        <f t="shared" ref="C7:C15" si="0">B7*0.7457</f>
        <v>0</v>
      </c>
      <c r="D7" s="2" t="str">
        <f>Inputs!B24</f>
        <v>Select</v>
      </c>
      <c r="E7" s="2">
        <f>(VLOOKUP(D7,'Emission Factors'!$A$5:$H$15,2,FALSE))*C7*8760/453.5928/2000</f>
        <v>0</v>
      </c>
      <c r="F7" s="2">
        <f>(VLOOKUP(D7,'Emission Factors'!$A$5:$H$15,3, FALSE))*C7*8760/453.592/2000</f>
        <v>0</v>
      </c>
      <c r="G7" s="2">
        <f>(VLOOKUP(D7,'Emission Factors'!$A$5:$H$15,4,FALSE))*C7*8760/453.592/2000</f>
        <v>0</v>
      </c>
      <c r="H7" s="2">
        <f>(VLOOKUP(D7,'Emission Factors'!$A$5:$H$15,5,FALSE))*C7*8760/453.592/2000</f>
        <v>0</v>
      </c>
      <c r="I7" s="2">
        <f>(VLOOKUP(D7,'Emission Factors'!$A$5:$H$15,6,FALSE))*C7*8760/453.592/2000</f>
        <v>0</v>
      </c>
      <c r="J7" s="2">
        <f>(VLOOKUP(D7,'Emission Factors'!$A$5:$H$15,7,FALSE))*C7*8760/453.592/2000</f>
        <v>0</v>
      </c>
      <c r="K7" s="2">
        <f>(VLOOKUP(Emissions!D7,'Emission Factors'!$A$5:$H$15,8,FALSE))*C7*8760/453.592/2000</f>
        <v>0</v>
      </c>
    </row>
    <row r="8" spans="1:11" x14ac:dyDescent="0.25">
      <c r="A8" s="2">
        <f>Inputs!A25</f>
        <v>0</v>
      </c>
      <c r="B8" s="2">
        <f>Inputs!C25</f>
        <v>0</v>
      </c>
      <c r="C8" s="2">
        <f t="shared" si="0"/>
        <v>0</v>
      </c>
      <c r="D8" s="2" t="str">
        <f>Inputs!B25</f>
        <v>Select</v>
      </c>
      <c r="E8" s="2">
        <f>(VLOOKUP(D8,'Emission Factors'!$A$5:$H$15,2,FALSE))*C8*8760/453.5928/2000</f>
        <v>0</v>
      </c>
      <c r="F8" s="2">
        <f>(VLOOKUP(D8,'Emission Factors'!$A$5:$H$15,3, FALSE))*C8*8760/453.592/2000</f>
        <v>0</v>
      </c>
      <c r="G8" s="2">
        <f>(VLOOKUP(D8,'Emission Factors'!$A$5:$H$15,4,FALSE))*C8*8760/453.592/2000</f>
        <v>0</v>
      </c>
      <c r="H8" s="2">
        <f>(VLOOKUP(D8,'Emission Factors'!$A$5:$H$15,5,FALSE))*C8*8760/453.592/2000</f>
        <v>0</v>
      </c>
      <c r="I8" s="2">
        <f>(VLOOKUP(D8,'Emission Factors'!$A$5:$H$15,6,FALSE))*C8*8760/453.592/2000</f>
        <v>0</v>
      </c>
      <c r="J8" s="2">
        <f>(VLOOKUP(D8,'Emission Factors'!$A$5:$H$15,7,FALSE))*C8*8760/453.592/2000</f>
        <v>0</v>
      </c>
      <c r="K8" s="2">
        <f>(VLOOKUP(Emissions!D8,'Emission Factors'!$A$5:$H$15,8,FALSE))*C8*8760/453.592/2000</f>
        <v>0</v>
      </c>
    </row>
    <row r="9" spans="1:11" x14ac:dyDescent="0.25">
      <c r="A9" s="2">
        <f>Inputs!A26</f>
        <v>0</v>
      </c>
      <c r="B9" s="2">
        <f>Inputs!C26</f>
        <v>0</v>
      </c>
      <c r="C9" s="2">
        <f t="shared" si="0"/>
        <v>0</v>
      </c>
      <c r="D9" s="2" t="str">
        <f>Inputs!B26</f>
        <v>Select</v>
      </c>
      <c r="E9" s="2">
        <f>(VLOOKUP(D9,'Emission Factors'!$A$5:$H$15,2,FALSE))*C9*8760/453.5928/2000</f>
        <v>0</v>
      </c>
      <c r="F9" s="2">
        <f>(VLOOKUP(D9,'Emission Factors'!$A$5:$H$15,3, FALSE))*C9*8760/453.592/2000</f>
        <v>0</v>
      </c>
      <c r="G9" s="2">
        <f>(VLOOKUP(D9,'Emission Factors'!$A$5:$H$15,4,FALSE))*C9*8760/453.592/2000</f>
        <v>0</v>
      </c>
      <c r="H9" s="2">
        <f>(VLOOKUP(D9,'Emission Factors'!$A$5:$H$15,5,FALSE))*C9*8760/453.592/2000</f>
        <v>0</v>
      </c>
      <c r="I9" s="2">
        <f>(VLOOKUP(D9,'Emission Factors'!$A$5:$H$15,6,FALSE))*C9*8760/453.592/2000</f>
        <v>0</v>
      </c>
      <c r="J9" s="2">
        <f>(VLOOKUP(D9,'Emission Factors'!$A$5:$H$15,7,FALSE))*C9*8760/453.592/2000</f>
        <v>0</v>
      </c>
      <c r="K9" s="2">
        <f>(VLOOKUP(Emissions!D9,'Emission Factors'!$A$5:$H$15,8,FALSE))*C9*8760/453.592/2000</f>
        <v>0</v>
      </c>
    </row>
    <row r="10" spans="1:11" x14ac:dyDescent="0.25">
      <c r="A10" s="2">
        <f>Inputs!A27</f>
        <v>0</v>
      </c>
      <c r="B10" s="2">
        <f>Inputs!C27</f>
        <v>0</v>
      </c>
      <c r="C10" s="2">
        <f t="shared" si="0"/>
        <v>0</v>
      </c>
      <c r="D10" s="2" t="str">
        <f>Inputs!B27</f>
        <v>Select</v>
      </c>
      <c r="E10" s="2">
        <f>(VLOOKUP(D10,'Emission Factors'!$A$5:$H$15,2,FALSE))*C10*8760/453.5928/2000</f>
        <v>0</v>
      </c>
      <c r="F10" s="2">
        <f>(VLOOKUP(D10,'Emission Factors'!$A$5:$H$15,3, FALSE))*C10*8760/453.592/2000</f>
        <v>0</v>
      </c>
      <c r="G10" s="2">
        <f>(VLOOKUP(D10,'Emission Factors'!$A$5:$H$15,4,FALSE))*C10*8760/453.592/2000</f>
        <v>0</v>
      </c>
      <c r="H10" s="2">
        <f>(VLOOKUP(D10,'Emission Factors'!$A$5:$H$15,5,FALSE))*C10*8760/453.592/2000</f>
        <v>0</v>
      </c>
      <c r="I10" s="2">
        <f>(VLOOKUP(D10,'Emission Factors'!$A$5:$H$15,6,FALSE))*C10*8760/453.592/2000</f>
        <v>0</v>
      </c>
      <c r="J10" s="2">
        <f>(VLOOKUP(D10,'Emission Factors'!$A$5:$H$15,7,FALSE))*C10*8760/453.592/2000</f>
        <v>0</v>
      </c>
      <c r="K10" s="2">
        <f>(VLOOKUP(Emissions!D10,'Emission Factors'!$A$5:$H$15,8,FALSE))*C10*8760/453.592/2000</f>
        <v>0</v>
      </c>
    </row>
    <row r="11" spans="1:11" x14ac:dyDescent="0.25">
      <c r="A11" s="2">
        <f>Inputs!A28</f>
        <v>0</v>
      </c>
      <c r="B11" s="2">
        <f>Inputs!C28</f>
        <v>0</v>
      </c>
      <c r="C11" s="2">
        <f t="shared" si="0"/>
        <v>0</v>
      </c>
      <c r="D11" s="2" t="str">
        <f>Inputs!B28</f>
        <v>Select</v>
      </c>
      <c r="E11" s="2">
        <f>(VLOOKUP(D11,'Emission Factors'!$A$5:$H$15,2,FALSE))*C11*8760/453.5928/2000</f>
        <v>0</v>
      </c>
      <c r="F11" s="2">
        <f>(VLOOKUP(D11,'Emission Factors'!$A$5:$H$15,3, FALSE))*C11*8760/453.592/2000</f>
        <v>0</v>
      </c>
      <c r="G11" s="2">
        <f>(VLOOKUP(D11,'Emission Factors'!$A$5:$H$15,4,FALSE))*C11*8760/453.592/2000</f>
        <v>0</v>
      </c>
      <c r="H11" s="2">
        <f>(VLOOKUP(D11,'Emission Factors'!$A$5:$H$15,5,FALSE))*C11*8760/453.592/2000</f>
        <v>0</v>
      </c>
      <c r="I11" s="2">
        <f>(VLOOKUP(D11,'Emission Factors'!$A$5:$H$15,6,FALSE))*C11*8760/453.592/2000</f>
        <v>0</v>
      </c>
      <c r="J11" s="2">
        <f>(VLOOKUP(D11,'Emission Factors'!$A$5:$H$15,7,FALSE))*C11*8760/453.592/2000</f>
        <v>0</v>
      </c>
      <c r="K11" s="2">
        <f>(VLOOKUP(Emissions!D11,'Emission Factors'!$A$5:$H$15,8,FALSE))*C11*8760/453.592/2000</f>
        <v>0</v>
      </c>
    </row>
    <row r="12" spans="1:11" x14ac:dyDescent="0.25">
      <c r="A12" s="2">
        <f>Inputs!A29</f>
        <v>0</v>
      </c>
      <c r="B12" s="2">
        <f>Inputs!C29</f>
        <v>0</v>
      </c>
      <c r="C12" s="2">
        <f t="shared" si="0"/>
        <v>0</v>
      </c>
      <c r="D12" s="2" t="str">
        <f>Inputs!B29</f>
        <v>Select</v>
      </c>
      <c r="E12" s="2">
        <f>(VLOOKUP(D12,'Emission Factors'!$A$5:$H$15,2,FALSE))*C12*8760/453.5928/2000</f>
        <v>0</v>
      </c>
      <c r="F12" s="2">
        <f>(VLOOKUP(D12,'Emission Factors'!$A$5:$H$15,3, FALSE))*C12*8760/453.592/2000</f>
        <v>0</v>
      </c>
      <c r="G12" s="2">
        <f>(VLOOKUP(D12,'Emission Factors'!$A$5:$H$15,4,FALSE))*C12*8760/453.592/2000</f>
        <v>0</v>
      </c>
      <c r="H12" s="2">
        <f>(VLOOKUP(D12,'Emission Factors'!$A$5:$H$15,5,FALSE))*C12*8760/453.592/2000</f>
        <v>0</v>
      </c>
      <c r="I12" s="2">
        <f>(VLOOKUP(D12,'Emission Factors'!$A$5:$H$15,6,FALSE))*C12*8760/453.592/2000</f>
        <v>0</v>
      </c>
      <c r="J12" s="2">
        <f>(VLOOKUP(D12,'Emission Factors'!$A$5:$H$15,7,FALSE))*C12*8760/453.592/2000</f>
        <v>0</v>
      </c>
      <c r="K12" s="2">
        <f>(VLOOKUP(Emissions!D12,'Emission Factors'!$A$5:$H$15,8,FALSE))*C12*8760/453.592/2000</f>
        <v>0</v>
      </c>
    </row>
    <row r="13" spans="1:11" x14ac:dyDescent="0.25">
      <c r="A13" s="2">
        <f>Inputs!A30</f>
        <v>0</v>
      </c>
      <c r="B13" s="2">
        <f>Inputs!C30</f>
        <v>0</v>
      </c>
      <c r="C13" s="2">
        <f t="shared" si="0"/>
        <v>0</v>
      </c>
      <c r="D13" s="2" t="str">
        <f>Inputs!B30</f>
        <v>Select</v>
      </c>
      <c r="E13" s="2">
        <f>(VLOOKUP(D13,'Emission Factors'!$A$5:$H$15,2,FALSE))*C13*8760/453.5928/2000</f>
        <v>0</v>
      </c>
      <c r="F13" s="2">
        <f>(VLOOKUP(D13,'Emission Factors'!$A$5:$H$15,3, FALSE))*C13*8760/453.592/2000</f>
        <v>0</v>
      </c>
      <c r="G13" s="2">
        <f>(VLOOKUP(D13,'Emission Factors'!$A$5:$H$15,4,FALSE))*C13*8760/453.592/2000</f>
        <v>0</v>
      </c>
      <c r="H13" s="2">
        <f>(VLOOKUP(D13,'Emission Factors'!$A$5:$H$15,5,FALSE))*C13*8760/453.592/2000</f>
        <v>0</v>
      </c>
      <c r="I13" s="2">
        <f>(VLOOKUP(D13,'Emission Factors'!$A$5:$H$15,6,FALSE))*C13*8760/453.592/2000</f>
        <v>0</v>
      </c>
      <c r="J13" s="2">
        <f>(VLOOKUP(D13,'Emission Factors'!$A$5:$H$15,7,FALSE))*C13*8760/453.592/2000</f>
        <v>0</v>
      </c>
      <c r="K13" s="2">
        <f>(VLOOKUP(Emissions!D13,'Emission Factors'!$A$5:$H$15,8,FALSE))*C13*8760/453.592/2000</f>
        <v>0</v>
      </c>
    </row>
    <row r="14" spans="1:11" x14ac:dyDescent="0.25">
      <c r="A14" s="2">
        <f>Inputs!A31</f>
        <v>0</v>
      </c>
      <c r="B14" s="2">
        <f>Inputs!C31</f>
        <v>0</v>
      </c>
      <c r="C14" s="2">
        <f t="shared" si="0"/>
        <v>0</v>
      </c>
      <c r="D14" s="2" t="str">
        <f>Inputs!B31</f>
        <v>Select</v>
      </c>
      <c r="E14" s="2">
        <f>(VLOOKUP(D14,'Emission Factors'!$A$5:$H$15,2,FALSE))*C14*8760/453.5928/2000</f>
        <v>0</v>
      </c>
      <c r="F14" s="2">
        <f>(VLOOKUP(D14,'Emission Factors'!$A$5:$H$15,3, FALSE))*C14*8760/453.592/2000</f>
        <v>0</v>
      </c>
      <c r="G14" s="2">
        <f>(VLOOKUP(D14,'Emission Factors'!$A$5:$H$15,4,FALSE))*C14*8760/453.592/2000</f>
        <v>0</v>
      </c>
      <c r="H14" s="2">
        <f>(VLOOKUP(D14,'Emission Factors'!$A$5:$H$15,5,FALSE))*C14*8760/453.592/2000</f>
        <v>0</v>
      </c>
      <c r="I14" s="2">
        <f>(VLOOKUP(D14,'Emission Factors'!$A$5:$H$15,6,FALSE))*C14*8760/453.592/2000</f>
        <v>0</v>
      </c>
      <c r="J14" s="2">
        <f>(VLOOKUP(D14,'Emission Factors'!$A$5:$H$15,7,FALSE))*C14*8760/453.592/2000</f>
        <v>0</v>
      </c>
      <c r="K14" s="2">
        <f>(VLOOKUP(Emissions!D14,'Emission Factors'!$A$5:$H$15,8,FALSE))*C14*8760/453.592/2000</f>
        <v>0</v>
      </c>
    </row>
    <row r="15" spans="1:11" x14ac:dyDescent="0.25">
      <c r="A15" s="2">
        <f>Inputs!A32</f>
        <v>0</v>
      </c>
      <c r="B15" s="2">
        <f>Inputs!C32</f>
        <v>0</v>
      </c>
      <c r="C15" s="2">
        <f t="shared" si="0"/>
        <v>0</v>
      </c>
      <c r="D15" s="2" t="str">
        <f>Inputs!B32</f>
        <v>Select</v>
      </c>
      <c r="E15" s="2">
        <f>(VLOOKUP(D15,'Emission Factors'!$A$5:$H$15,2,FALSE))*C15*8760/453.5928/2000</f>
        <v>0</v>
      </c>
      <c r="F15" s="2">
        <f>(VLOOKUP(D15,'Emission Factors'!$A$5:$H$15,3, FALSE))*C15*8760/453.592/2000</f>
        <v>0</v>
      </c>
      <c r="G15" s="2">
        <f>(VLOOKUP(D15,'Emission Factors'!$A$5:$H$15,4,FALSE))*C15*8760/453.592/2000</f>
        <v>0</v>
      </c>
      <c r="H15" s="2">
        <f>(VLOOKUP(D15,'Emission Factors'!$A$5:$H$15,5,FALSE))*C15*8760/453.592/2000</f>
        <v>0</v>
      </c>
      <c r="I15" s="2">
        <f>(VLOOKUP(D15,'Emission Factors'!$A$5:$H$15,6,FALSE))*C15*8760/453.592/2000</f>
        <v>0</v>
      </c>
      <c r="J15" s="2">
        <f>(VLOOKUP(D15,'Emission Factors'!$A$5:$H$15,7,FALSE))*C15*8760/453.592/2000</f>
        <v>0</v>
      </c>
      <c r="K15" s="2">
        <f>(VLOOKUP(Emissions!D15,'Emission Factors'!$A$5:$H$15,8,FALSE))*C15*8760/453.592/2000</f>
        <v>0</v>
      </c>
    </row>
    <row r="16" spans="1:11" x14ac:dyDescent="0.25">
      <c r="A16" s="2"/>
      <c r="B16" s="2"/>
      <c r="C16" s="2"/>
      <c r="D16" s="6" t="s">
        <v>48</v>
      </c>
      <c r="E16" s="6">
        <f>SUM(E6:E15)</f>
        <v>86.947928736964073</v>
      </c>
      <c r="F16" s="6">
        <f t="shared" ref="F16:K16" si="1">SUM(F6:F15)</f>
        <v>9.936923667084077</v>
      </c>
      <c r="G16" s="6">
        <f t="shared" si="1"/>
        <v>0.18337198499999999</v>
      </c>
      <c r="H16" s="6">
        <f t="shared" si="1"/>
        <v>4.7200387418649363</v>
      </c>
      <c r="I16" s="6">
        <f t="shared" si="1"/>
        <v>0.49684618335420377</v>
      </c>
      <c r="J16" s="6">
        <f t="shared" si="1"/>
        <v>0.49684618335420377</v>
      </c>
      <c r="K16" s="6">
        <f t="shared" si="1"/>
        <v>0.49684618335420377</v>
      </c>
    </row>
    <row r="17" spans="1:11" x14ac:dyDescent="0.25">
      <c r="A17" s="3"/>
      <c r="B17" s="3"/>
      <c r="C17" s="3"/>
      <c r="D17" s="4"/>
      <c r="E17" s="4"/>
      <c r="F17" s="4"/>
      <c r="G17" s="4"/>
      <c r="H17" s="4"/>
      <c r="I17" s="4"/>
      <c r="J17" s="4"/>
      <c r="K17" s="4"/>
    </row>
    <row r="18" spans="1:11" x14ac:dyDescent="0.25">
      <c r="A18" t="s">
        <v>45</v>
      </c>
      <c r="D18" s="1"/>
      <c r="E18" s="1"/>
      <c r="F18" s="1"/>
      <c r="G18" s="1"/>
      <c r="H18" s="1"/>
      <c r="I18" s="1"/>
      <c r="J18" s="1"/>
      <c r="K18" s="1"/>
    </row>
    <row r="19" spans="1:11" x14ac:dyDescent="0.25">
      <c r="A19" s="2" t="s">
        <v>17</v>
      </c>
      <c r="B19" s="2" t="s">
        <v>21</v>
      </c>
      <c r="C19" s="2" t="s">
        <v>22</v>
      </c>
      <c r="D19" s="2"/>
      <c r="E19" s="2"/>
      <c r="F19" s="2"/>
      <c r="G19" s="2"/>
      <c r="H19" s="2"/>
      <c r="I19" s="2"/>
      <c r="J19" s="2"/>
      <c r="K19" s="2"/>
    </row>
    <row r="20" spans="1:11" x14ac:dyDescent="0.25">
      <c r="A20" s="2">
        <f>Inputs!A39</f>
        <v>0</v>
      </c>
      <c r="B20" s="2">
        <f>Inputs!C39</f>
        <v>1000</v>
      </c>
      <c r="C20" s="2">
        <f>B20*0.7457</f>
        <v>745.7</v>
      </c>
      <c r="D20" s="2" t="str">
        <f>Inputs!B39</f>
        <v>Rich Burn LPG, Emergency</v>
      </c>
      <c r="E20" s="2">
        <f>(VLOOKUP(D20,'Emission Factors'!$A$5:$H$20,2,FALSE))*C20*500/453.5928/2000</f>
        <v>7.8259361973999582</v>
      </c>
      <c r="F20" s="2">
        <f>(VLOOKUP(D20,'Emission Factors'!$A$5:$H$20,3, FALSE))*C20*500/453.592/2000</f>
        <v>4.7755124999999987</v>
      </c>
      <c r="G20" s="2">
        <f>(VLOOKUP(D20,'Emission Factors'!$A$5:$H$20,4,FALSE))*C20*500/453.592/2000</f>
        <v>1.2370050000000002E-3</v>
      </c>
      <c r="H20" s="2">
        <f>(VLOOKUP(D20,'Emission Factors'!$A$5:$H$20,5,FALSE))*C20*500/453.592/2000</f>
        <v>6.2271000000000007E-2</v>
      </c>
      <c r="I20" s="2">
        <f>(VLOOKUP(D20,'Emission Factors'!$A$5:$H$20,6,FALSE))*C20*500/453.592/2000</f>
        <v>4.083378750000001E-2</v>
      </c>
      <c r="J20" s="2">
        <f>(VLOOKUP(D20,'Emission Factors'!$A$5:$H$20,7,FALSE))*C20*500/453.592/2000</f>
        <v>4.083378750000001E-2</v>
      </c>
      <c r="K20" s="2">
        <f>(VLOOKUP(Emissions!D20,'Emission Factors'!$A$5:$H$20,8,FALSE))*C20*500/453.592/2000</f>
        <v>4.083378750000001E-2</v>
      </c>
    </row>
    <row r="21" spans="1:11" x14ac:dyDescent="0.25">
      <c r="A21" s="2">
        <f>Inputs!A40</f>
        <v>0</v>
      </c>
      <c r="B21" s="2">
        <f>Inputs!C40</f>
        <v>0</v>
      </c>
      <c r="C21" s="2">
        <f t="shared" ref="C21:C28" si="2">B21*0.7457</f>
        <v>0</v>
      </c>
      <c r="D21" s="2" t="str">
        <f>Inputs!B40</f>
        <v>Select</v>
      </c>
      <c r="E21" s="2">
        <f>(VLOOKUP(D21,'Emission Factors'!$A$5:$H$20,2,FALSE))*C21*500/453.5928/2000</f>
        <v>0</v>
      </c>
      <c r="F21" s="2">
        <f>(VLOOKUP(D21,'Emission Factors'!$A$5:$H$20,3, FALSE))*C21*500/453.592/2000</f>
        <v>0</v>
      </c>
      <c r="G21" s="2">
        <f>(VLOOKUP(D21,'Emission Factors'!$A$5:$H$20,4,FALSE))*C21*500/453.592/2000</f>
        <v>0</v>
      </c>
      <c r="H21" s="2">
        <f>(VLOOKUP(D21,'Emission Factors'!$A$5:$H$20,5,FALSE))*C21*500/453.592/2000</f>
        <v>0</v>
      </c>
      <c r="I21" s="2">
        <f>(VLOOKUP(D21,'Emission Factors'!$A$5:$H$20,6,FALSE))*C21*500/453.592/2000</f>
        <v>0</v>
      </c>
      <c r="J21" s="2">
        <f>(VLOOKUP(D21,'Emission Factors'!$A$5:$H$20,7,FALSE))*C21*500/453.592/2000</f>
        <v>0</v>
      </c>
      <c r="K21" s="2">
        <f>(VLOOKUP(Emissions!D21,'Emission Factors'!$A$5:$H$20,8,FALSE))*C21*500/453.592/2000</f>
        <v>0</v>
      </c>
    </row>
    <row r="22" spans="1:11" x14ac:dyDescent="0.25">
      <c r="A22" s="2">
        <f>Inputs!A41</f>
        <v>0</v>
      </c>
      <c r="B22" s="2">
        <f>Inputs!C41</f>
        <v>0</v>
      </c>
      <c r="C22" s="2">
        <f t="shared" si="2"/>
        <v>0</v>
      </c>
      <c r="D22" s="2" t="str">
        <f>Inputs!B41</f>
        <v>Select</v>
      </c>
      <c r="E22" s="2">
        <f>(VLOOKUP(D22,'Emission Factors'!$A$5:$H$20,2,FALSE))*C22*500/453.5928/2000</f>
        <v>0</v>
      </c>
      <c r="F22" s="2">
        <f>(VLOOKUP(D22,'Emission Factors'!$A$5:$H$20,3, FALSE))*C22*500/453.592/2000</f>
        <v>0</v>
      </c>
      <c r="G22" s="2">
        <f>(VLOOKUP(D22,'Emission Factors'!$A$5:$H$20,4,FALSE))*C22*500/453.592/2000</f>
        <v>0</v>
      </c>
      <c r="H22" s="2">
        <f>(VLOOKUP(D22,'Emission Factors'!$A$5:$H$20,5,FALSE))*C22*500/453.592/2000</f>
        <v>0</v>
      </c>
      <c r="I22" s="2">
        <f>(VLOOKUP(D22,'Emission Factors'!$A$5:$H$20,6,FALSE))*C22*500/453.592/2000</f>
        <v>0</v>
      </c>
      <c r="J22" s="2">
        <f>(VLOOKUP(D22,'Emission Factors'!$A$5:$H$20,7,FALSE))*C22*500/453.592/2000</f>
        <v>0</v>
      </c>
      <c r="K22" s="2">
        <f>(VLOOKUP(Emissions!D22,'Emission Factors'!$A$5:$H$20,8,FALSE))*C22*500/453.592/2000</f>
        <v>0</v>
      </c>
    </row>
    <row r="23" spans="1:11" x14ac:dyDescent="0.25">
      <c r="A23" s="2">
        <f>Inputs!A42</f>
        <v>0</v>
      </c>
      <c r="B23" s="2">
        <f>Inputs!C42</f>
        <v>0</v>
      </c>
      <c r="C23" s="2">
        <f t="shared" si="2"/>
        <v>0</v>
      </c>
      <c r="D23" s="2" t="str">
        <f>Inputs!B42</f>
        <v>Select</v>
      </c>
      <c r="E23" s="2">
        <f>(VLOOKUP(D23,'Emission Factors'!$A$5:$H$20,2,FALSE))*C23*500/453.5928/2000</f>
        <v>0</v>
      </c>
      <c r="F23" s="2">
        <f>(VLOOKUP(D23,'Emission Factors'!$A$5:$H$20,3, FALSE))*C23*500/453.592/2000</f>
        <v>0</v>
      </c>
      <c r="G23" s="2">
        <f>(VLOOKUP(D23,'Emission Factors'!$A$5:$H$20,4,FALSE))*C23*500/453.592/2000</f>
        <v>0</v>
      </c>
      <c r="H23" s="2">
        <f>(VLOOKUP(D23,'Emission Factors'!$A$5:$H$20,5,FALSE))*C23*500/453.592/2000</f>
        <v>0</v>
      </c>
      <c r="I23" s="2">
        <f>(VLOOKUP(D23,'Emission Factors'!$A$5:$H$20,6,FALSE))*C23*500/453.592/2000</f>
        <v>0</v>
      </c>
      <c r="J23" s="2">
        <f>(VLOOKUP(D23,'Emission Factors'!$A$5:$H$20,7,FALSE))*C23*500/453.592/2000</f>
        <v>0</v>
      </c>
      <c r="K23" s="2">
        <f>(VLOOKUP(Emissions!D23,'Emission Factors'!$A$5:$H$20,8,FALSE))*C23*500/453.592/2000</f>
        <v>0</v>
      </c>
    </row>
    <row r="24" spans="1:11" x14ac:dyDescent="0.25">
      <c r="A24" s="2">
        <f>Inputs!A43</f>
        <v>0</v>
      </c>
      <c r="B24" s="2">
        <f>Inputs!C43</f>
        <v>0</v>
      </c>
      <c r="C24" s="2">
        <f t="shared" si="2"/>
        <v>0</v>
      </c>
      <c r="D24" s="2" t="str">
        <f>Inputs!B43</f>
        <v>Select</v>
      </c>
      <c r="E24" s="2">
        <f>(VLOOKUP(D24,'Emission Factors'!$A$5:$H$20,2,FALSE))*C24*500/453.5928/2000</f>
        <v>0</v>
      </c>
      <c r="F24" s="2">
        <f>(VLOOKUP(D24,'Emission Factors'!$A$5:$H$20,3, FALSE))*C24*500/453.592/2000</f>
        <v>0</v>
      </c>
      <c r="G24" s="2">
        <f>(VLOOKUP(D24,'Emission Factors'!$A$5:$H$20,4,FALSE))*C24*500/453.592/2000</f>
        <v>0</v>
      </c>
      <c r="H24" s="2">
        <f>(VLOOKUP(D24,'Emission Factors'!$A$5:$H$20,5,FALSE))*C24*500/453.592/2000</f>
        <v>0</v>
      </c>
      <c r="I24" s="2">
        <f>(VLOOKUP(D24,'Emission Factors'!$A$5:$H$20,6,FALSE))*C24*500/453.592/2000</f>
        <v>0</v>
      </c>
      <c r="J24" s="2">
        <f>(VLOOKUP(D24,'Emission Factors'!$A$5:$H$20,7,FALSE))*C24*500/453.592/2000</f>
        <v>0</v>
      </c>
      <c r="K24" s="2">
        <f>(VLOOKUP(Emissions!D24,'Emission Factors'!$A$5:$H$20,8,FALSE))*C24*500/453.592/2000</f>
        <v>0</v>
      </c>
    </row>
    <row r="25" spans="1:11" x14ac:dyDescent="0.25">
      <c r="A25" s="2">
        <f>Inputs!A44</f>
        <v>0</v>
      </c>
      <c r="B25" s="2">
        <f>Inputs!C44</f>
        <v>0</v>
      </c>
      <c r="C25" s="2">
        <f t="shared" si="2"/>
        <v>0</v>
      </c>
      <c r="D25" s="2" t="str">
        <f>Inputs!B44</f>
        <v>Select</v>
      </c>
      <c r="E25" s="2">
        <f>(VLOOKUP(D25,'Emission Factors'!$A$5:$H$20,2,FALSE))*C25*500/453.5928/2000</f>
        <v>0</v>
      </c>
      <c r="F25" s="2">
        <f>(VLOOKUP(D25,'Emission Factors'!$A$5:$H$20,3, FALSE))*C25*500/453.592/2000</f>
        <v>0</v>
      </c>
      <c r="G25" s="2">
        <f>(VLOOKUP(D25,'Emission Factors'!$A$5:$H$20,4,FALSE))*C25*500/453.592/2000</f>
        <v>0</v>
      </c>
      <c r="H25" s="2">
        <f>(VLOOKUP(D25,'Emission Factors'!$A$5:$H$20,5,FALSE))*C25*500/453.592/2000</f>
        <v>0</v>
      </c>
      <c r="I25" s="2">
        <f>(VLOOKUP(D25,'Emission Factors'!$A$5:$H$20,6,FALSE))*C25*500/453.592/2000</f>
        <v>0</v>
      </c>
      <c r="J25" s="2">
        <f>(VLOOKUP(D25,'Emission Factors'!$A$5:$H$20,7,FALSE))*C25*500/453.592/2000</f>
        <v>0</v>
      </c>
      <c r="K25" s="2">
        <f>(VLOOKUP(Emissions!D25,'Emission Factors'!$A$5:$H$20,8,FALSE))*C25*500/453.592/2000</f>
        <v>0</v>
      </c>
    </row>
    <row r="26" spans="1:11" x14ac:dyDescent="0.25">
      <c r="A26" s="2">
        <f>Inputs!A45</f>
        <v>0</v>
      </c>
      <c r="B26" s="2">
        <f>Inputs!C45</f>
        <v>0</v>
      </c>
      <c r="C26" s="2">
        <f t="shared" si="2"/>
        <v>0</v>
      </c>
      <c r="D26" s="2" t="str">
        <f>Inputs!B45</f>
        <v>Select</v>
      </c>
      <c r="E26" s="2">
        <f>(VLOOKUP(D26,'Emission Factors'!$A$5:$H$20,2,FALSE))*C26*500/453.5928/2000</f>
        <v>0</v>
      </c>
      <c r="F26" s="2">
        <f>(VLOOKUP(D26,'Emission Factors'!$A$5:$H$20,3, FALSE))*C26*500/453.592/2000</f>
        <v>0</v>
      </c>
      <c r="G26" s="2">
        <f>(VLOOKUP(D26,'Emission Factors'!$A$5:$H$20,4,FALSE))*C26*500/453.592/2000</f>
        <v>0</v>
      </c>
      <c r="H26" s="2">
        <f>(VLOOKUP(D26,'Emission Factors'!$A$5:$H$20,5,FALSE))*C26*500/453.592/2000</f>
        <v>0</v>
      </c>
      <c r="I26" s="2">
        <f>(VLOOKUP(D26,'Emission Factors'!$A$5:$H$20,6,FALSE))*C26*500/453.592/2000</f>
        <v>0</v>
      </c>
      <c r="J26" s="2">
        <f>(VLOOKUP(D26,'Emission Factors'!$A$5:$H$20,7,FALSE))*C26*500/453.592/2000</f>
        <v>0</v>
      </c>
      <c r="K26" s="2">
        <f>(VLOOKUP(Emissions!D26,'Emission Factors'!$A$5:$H$20,8,FALSE))*C26*500/453.592/2000</f>
        <v>0</v>
      </c>
    </row>
    <row r="27" spans="1:11" x14ac:dyDescent="0.25">
      <c r="A27" s="2">
        <f>Inputs!A46</f>
        <v>0</v>
      </c>
      <c r="B27" s="2">
        <f>Inputs!C46</f>
        <v>0</v>
      </c>
      <c r="C27" s="2">
        <f t="shared" si="2"/>
        <v>0</v>
      </c>
      <c r="D27" s="2" t="str">
        <f>Inputs!B46</f>
        <v>Select</v>
      </c>
      <c r="E27" s="2">
        <f>(VLOOKUP(D27,'Emission Factors'!$A$5:$H$20,2,FALSE))*C27*500/453.5928/2000</f>
        <v>0</v>
      </c>
      <c r="F27" s="2">
        <f>(VLOOKUP(D27,'Emission Factors'!$A$5:$H$20,3, FALSE))*C27*500/453.592/2000</f>
        <v>0</v>
      </c>
      <c r="G27" s="2">
        <f>(VLOOKUP(D27,'Emission Factors'!$A$5:$H$20,4,FALSE))*C27*500/453.592/2000</f>
        <v>0</v>
      </c>
      <c r="H27" s="2">
        <f>(VLOOKUP(D27,'Emission Factors'!$A$5:$H$20,5,FALSE))*C27*500/453.592/2000</f>
        <v>0</v>
      </c>
      <c r="I27" s="2">
        <f>(VLOOKUP(D27,'Emission Factors'!$A$5:$H$20,6,FALSE))*C27*500/453.592/2000</f>
        <v>0</v>
      </c>
      <c r="J27" s="2">
        <f>(VLOOKUP(D27,'Emission Factors'!$A$5:$H$20,7,FALSE))*C27*500/453.592/2000</f>
        <v>0</v>
      </c>
      <c r="K27" s="2">
        <f>(VLOOKUP(Emissions!D27,'Emission Factors'!$A$5:$H$20,8,FALSE))*C27*500/453.592/2000</f>
        <v>0</v>
      </c>
    </row>
    <row r="28" spans="1:11" x14ac:dyDescent="0.25">
      <c r="A28" s="2">
        <f>Inputs!A47</f>
        <v>0</v>
      </c>
      <c r="B28" s="2">
        <f>Inputs!C47</f>
        <v>0</v>
      </c>
      <c r="C28" s="2">
        <f t="shared" si="2"/>
        <v>0</v>
      </c>
      <c r="D28" s="2" t="str">
        <f>Inputs!B47</f>
        <v>Select</v>
      </c>
      <c r="E28" s="2">
        <f>(VLOOKUP(D28,'Emission Factors'!$A$5:$H$20,2,FALSE))*C28*500/453.5928/2000</f>
        <v>0</v>
      </c>
      <c r="F28" s="2">
        <f>(VLOOKUP(D28,'Emission Factors'!$A$5:$H$20,3, FALSE))*C28*500/453.592/2000</f>
        <v>0</v>
      </c>
      <c r="G28" s="2">
        <f>(VLOOKUP(D28,'Emission Factors'!$A$5:$H$20,4,FALSE))*C28*500/453.592/2000</f>
        <v>0</v>
      </c>
      <c r="H28" s="2">
        <f>(VLOOKUP(D28,'Emission Factors'!$A$5:$H$20,5,FALSE))*C28*500/453.592/2000</f>
        <v>0</v>
      </c>
      <c r="I28" s="2">
        <f>(VLOOKUP(D28,'Emission Factors'!$A$5:$H$20,6,FALSE))*C28*500/453.592/2000</f>
        <v>0</v>
      </c>
      <c r="J28" s="2">
        <f>(VLOOKUP(D28,'Emission Factors'!$A$5:$H$20,7,FALSE))*C28*500/453.592/2000</f>
        <v>0</v>
      </c>
      <c r="K28" s="2">
        <f>(VLOOKUP(Emissions!D28,'Emission Factors'!$A$5:$H$20,8,FALSE))*C28*500/453.592/2000</f>
        <v>0</v>
      </c>
    </row>
    <row r="29" spans="1:11" x14ac:dyDescent="0.25">
      <c r="A29" s="2"/>
      <c r="B29" s="2"/>
      <c r="C29" s="2"/>
      <c r="D29" s="2" t="s">
        <v>86</v>
      </c>
      <c r="E29" s="2">
        <f>SUM(E20:E28)</f>
        <v>7.8259361973999582</v>
      </c>
      <c r="F29" s="2">
        <f t="shared" ref="F29:K29" si="3">SUM(F20:F28)</f>
        <v>4.7755124999999987</v>
      </c>
      <c r="G29" s="2">
        <f t="shared" si="3"/>
        <v>1.2370050000000002E-3</v>
      </c>
      <c r="H29" s="2">
        <f t="shared" si="3"/>
        <v>6.2271000000000007E-2</v>
      </c>
      <c r="I29" s="2">
        <f t="shared" si="3"/>
        <v>4.083378750000001E-2</v>
      </c>
      <c r="J29" s="2">
        <f t="shared" si="3"/>
        <v>4.083378750000001E-2</v>
      </c>
      <c r="K29" s="2">
        <f t="shared" si="3"/>
        <v>4.083378750000001E-2</v>
      </c>
    </row>
    <row r="30" spans="1:11" x14ac:dyDescent="0.25">
      <c r="A30" s="3"/>
      <c r="B30" s="3"/>
      <c r="C30" s="3"/>
      <c r="D30" s="3"/>
      <c r="E30" s="3"/>
      <c r="F30" s="3"/>
      <c r="G30" s="3"/>
      <c r="H30" s="3"/>
      <c r="I30" s="3"/>
      <c r="J30" s="3"/>
      <c r="K30" s="3"/>
    </row>
    <row r="31" spans="1:11" x14ac:dyDescent="0.25">
      <c r="A31" t="s">
        <v>125</v>
      </c>
    </row>
    <row r="32" spans="1:11" x14ac:dyDescent="0.25">
      <c r="A32" t="s">
        <v>17</v>
      </c>
      <c r="B32" t="s">
        <v>126</v>
      </c>
      <c r="D32" t="s">
        <v>127</v>
      </c>
    </row>
    <row r="33" spans="1:11" x14ac:dyDescent="0.25">
      <c r="A33" s="2">
        <f>Inputs!A54</f>
        <v>0</v>
      </c>
      <c r="B33" s="2">
        <f>Inputs!C54</f>
        <v>10</v>
      </c>
      <c r="C33" s="2"/>
      <c r="D33" s="2" t="str">
        <f>Inputs!B54</f>
        <v>Natural Gas</v>
      </c>
      <c r="E33" s="2">
        <f>(VLOOKUP($D33,'Aux Heaters EFs'!$B$42:$J$45,2,FALSE))*B33*8760/2000</f>
        <v>3.6070588235294117</v>
      </c>
      <c r="F33" s="2">
        <f>(VLOOKUP($D33,'Aux Heaters EFs'!$B$42:$J$45,3,FALSE))*$B$33*8760/2000</f>
        <v>4.2941176470588234</v>
      </c>
      <c r="G33" s="2">
        <f>(VLOOKUP($D33,'Aux Heaters EFs'!$B$42:$J$45,4,FALSE))*$B$33*8760/2000</f>
        <v>2.5764705882352943E-2</v>
      </c>
      <c r="H33" s="2">
        <f>(VLOOKUP($D33,'Aux Heaters EFs'!$B$42:$J$45,5,FALSE))*$B$33*8760/2000</f>
        <v>0.23617647058823529</v>
      </c>
      <c r="I33" s="2">
        <f>(VLOOKUP($D33,'Aux Heaters EFs'!$B$42:$J$45,6,FALSE))*$B$33*8760/2000</f>
        <v>0.32635294117647062</v>
      </c>
      <c r="J33" s="2">
        <f>(VLOOKUP($D33,'Aux Heaters EFs'!$B$42:$J$45,7,FALSE))*$B$33*8760/2000</f>
        <v>0.32635294117647062</v>
      </c>
      <c r="K33" s="2">
        <f>(VLOOKUP($D33,'Aux Heaters EFs'!$B$42:$J$45,8,FALSE))*$B$33*8760/2000</f>
        <v>0.32635294117647062</v>
      </c>
    </row>
    <row r="34" spans="1:11" x14ac:dyDescent="0.25">
      <c r="A34" s="2">
        <f>Inputs!A55</f>
        <v>0</v>
      </c>
      <c r="B34" s="2">
        <f>Inputs!C55</f>
        <v>0</v>
      </c>
      <c r="C34" s="2"/>
      <c r="D34" s="2" t="str">
        <f>Inputs!B55</f>
        <v>Select</v>
      </c>
      <c r="E34" s="2">
        <f>(VLOOKUP($D34,'Aux Heaters EFs'!$B$42:$J$45,2,FALSE))*$B$34*8760/2000</f>
        <v>0</v>
      </c>
      <c r="F34" s="2">
        <f>(VLOOKUP($D34,'Aux Heaters EFs'!$B$42:$J$45,3,FALSE))*$B$34*8760/2000</f>
        <v>0</v>
      </c>
      <c r="G34" s="2">
        <f>(VLOOKUP($D34,'Aux Heaters EFs'!$B$42:$J$45,4,FALSE))*$B$34*8760/2000</f>
        <v>0</v>
      </c>
      <c r="H34" s="2">
        <f>(VLOOKUP($D34,'Aux Heaters EFs'!$B$42:$J$45,5,FALSE))*$B$34*8760/2000</f>
        <v>0</v>
      </c>
      <c r="I34" s="2">
        <f>(VLOOKUP($D34,'Aux Heaters EFs'!$B$42:$J$45,6,FALSE))*$B$34*8760/2000</f>
        <v>0</v>
      </c>
      <c r="J34" s="2">
        <f>(VLOOKUP($D34,'Aux Heaters EFs'!$B$42:$J$45,7,FALSE))*$B$34*8760/2000</f>
        <v>0</v>
      </c>
      <c r="K34" s="2">
        <f>(VLOOKUP($D34,'Aux Heaters EFs'!$B$42:$J$45,8,FALSE))*$B$34*8760/2000</f>
        <v>0</v>
      </c>
    </row>
    <row r="35" spans="1:11" x14ac:dyDescent="0.25">
      <c r="A35" s="2">
        <f>Inputs!A56</f>
        <v>0</v>
      </c>
      <c r="B35" s="2">
        <f>Inputs!C56</f>
        <v>0</v>
      </c>
      <c r="C35" s="2"/>
      <c r="D35" s="2" t="str">
        <f>Inputs!B56</f>
        <v>Select</v>
      </c>
      <c r="E35" s="2">
        <f>(VLOOKUP($D35,'Aux Heaters EFs'!$B$42:$J$45,2,FALSE))*$B$35*8760/2000</f>
        <v>0</v>
      </c>
      <c r="F35" s="2">
        <f>(VLOOKUP($D35,'Aux Heaters EFs'!$B$42:$J$45,3,FALSE))*$B$35*8760/2000</f>
        <v>0</v>
      </c>
      <c r="G35" s="2">
        <f>(VLOOKUP($D35,'Aux Heaters EFs'!$B$42:$J$45,4,FALSE))*$B$35*8760/2000</f>
        <v>0</v>
      </c>
      <c r="H35" s="2">
        <f>(VLOOKUP($D35,'Aux Heaters EFs'!$B$42:$J$45,5,FALSE))*$B$35*8760/2000</f>
        <v>0</v>
      </c>
      <c r="I35" s="2">
        <f>(VLOOKUP($D35,'Aux Heaters EFs'!$B$42:$J$45,6,FALSE))*$B$35*8760/2000</f>
        <v>0</v>
      </c>
      <c r="J35" s="2">
        <f>(VLOOKUP($D35,'Aux Heaters EFs'!$B$42:$J$45,7,FALSE))*$B$35*8760/2000</f>
        <v>0</v>
      </c>
      <c r="K35" s="2">
        <f>(VLOOKUP($D35,'Aux Heaters EFs'!$B$42:$J$45,8,FALSE))*$B$35*8760/2000</f>
        <v>0</v>
      </c>
    </row>
    <row r="36" spans="1:11" x14ac:dyDescent="0.25">
      <c r="A36" s="2">
        <f>Inputs!A57</f>
        <v>0</v>
      </c>
      <c r="B36" s="2">
        <f>Inputs!C57</f>
        <v>0</v>
      </c>
      <c r="C36" s="2"/>
      <c r="D36" s="2" t="str">
        <f>Inputs!B57</f>
        <v>Select</v>
      </c>
      <c r="E36" s="2">
        <f>(VLOOKUP($D36,'Aux Heaters EFs'!$B$42:$J$45,2,FALSE))*$B$36*8760/2000</f>
        <v>0</v>
      </c>
      <c r="F36" s="2">
        <f>(VLOOKUP($D36,'Aux Heaters EFs'!$B$42:$J$45,3,FALSE))*$B$36*8760/2000</f>
        <v>0</v>
      </c>
      <c r="G36" s="2">
        <f>(VLOOKUP($D36,'Aux Heaters EFs'!$B$42:$J$45,4,FALSE))*$B$36*8760/2000</f>
        <v>0</v>
      </c>
      <c r="H36" s="2">
        <f>(VLOOKUP($D36,'Aux Heaters EFs'!$B$42:$J$45,5,FALSE))*$B$36*8760/2000</f>
        <v>0</v>
      </c>
      <c r="I36" s="2">
        <f>(VLOOKUP($D36,'Aux Heaters EFs'!$B$42:$J$45,6,FALSE))*$B$36*8760/2000</f>
        <v>0</v>
      </c>
      <c r="J36" s="2">
        <f>(VLOOKUP($D36,'Aux Heaters EFs'!$B$42:$J$45,7,FALSE))*$B$36*8760/2000</f>
        <v>0</v>
      </c>
      <c r="K36" s="2">
        <f>(VLOOKUP($D36,'Aux Heaters EFs'!$B$42:$J$45,8,FALSE))*$B$36*8760/2000</f>
        <v>0</v>
      </c>
    </row>
    <row r="37" spans="1:11" x14ac:dyDescent="0.25">
      <c r="A37" s="2">
        <f>Inputs!A58</f>
        <v>0</v>
      </c>
      <c r="B37" s="2">
        <f>Inputs!C58</f>
        <v>0</v>
      </c>
      <c r="C37" s="2"/>
      <c r="D37" s="2" t="str">
        <f>Inputs!B58</f>
        <v>Select</v>
      </c>
      <c r="E37" s="2">
        <f>(VLOOKUP($D37,'Aux Heaters EFs'!$B$42:$J$45,2,FALSE))*$B$37*8760/2000</f>
        <v>0</v>
      </c>
      <c r="F37" s="2">
        <f>(VLOOKUP($D37,'Aux Heaters EFs'!$B$42:$J$45,3,FALSE))*$B$37*8760/2000</f>
        <v>0</v>
      </c>
      <c r="G37" s="2">
        <f>(VLOOKUP($D37,'Aux Heaters EFs'!$B$42:$J$45,4,FALSE))*$B$37*8760/2000</f>
        <v>0</v>
      </c>
      <c r="H37" s="2">
        <f>(VLOOKUP($D37,'Aux Heaters EFs'!$B$42:$J$45,5,FALSE))*$B$37*8760/2000</f>
        <v>0</v>
      </c>
      <c r="I37" s="2">
        <f>(VLOOKUP($D37,'Aux Heaters EFs'!$B$42:$J$45,6,FALSE))*$B$37*8760/2000</f>
        <v>0</v>
      </c>
      <c r="J37" s="2">
        <f>(VLOOKUP($D37,'Aux Heaters EFs'!$B$42:$J$45,7,FALSE))*$B$37*8760/2000</f>
        <v>0</v>
      </c>
      <c r="K37" s="2">
        <f>(VLOOKUP($D37,'Aux Heaters EFs'!$B$42:$J$45,8,FALSE))*$B$37*8760/2000</f>
        <v>0</v>
      </c>
    </row>
    <row r="38" spans="1:11" x14ac:dyDescent="0.25">
      <c r="A38" s="2">
        <f>Inputs!A59</f>
        <v>0</v>
      </c>
      <c r="B38" s="2">
        <f>Inputs!C59</f>
        <v>0</v>
      </c>
      <c r="C38" s="2"/>
      <c r="D38" s="2" t="str">
        <f>Inputs!B59</f>
        <v>Select</v>
      </c>
      <c r="E38" s="2">
        <f>(VLOOKUP($D38,'Aux Heaters EFs'!$B$42:$J$45,2,FALSE))*$B$38*8760/2000</f>
        <v>0</v>
      </c>
      <c r="F38" s="2">
        <f>(VLOOKUP($D38,'Aux Heaters EFs'!$B$42:$J$45,3,FALSE))*$B$38*8760/2000</f>
        <v>0</v>
      </c>
      <c r="G38" s="2">
        <f>(VLOOKUP($D38,'Aux Heaters EFs'!$B$42:$J$45,4,FALSE))*$B$38*8760/2000</f>
        <v>0</v>
      </c>
      <c r="H38" s="2">
        <f>(VLOOKUP($D38,'Aux Heaters EFs'!$B$42:$J$45,5,FALSE))*$B$38*8760/2000</f>
        <v>0</v>
      </c>
      <c r="I38" s="2">
        <f>(VLOOKUP($D38,'Aux Heaters EFs'!$B$42:$J$45,6,FALSE))*$B$38*8760/2000</f>
        <v>0</v>
      </c>
      <c r="J38" s="2">
        <f>(VLOOKUP($D38,'Aux Heaters EFs'!$B$42:$J$45,7,FALSE))*$B$38*8760/2000</f>
        <v>0</v>
      </c>
      <c r="K38" s="2">
        <f>(VLOOKUP($D38,'Aux Heaters EFs'!$B$42:$J$45,8,FALSE))*$B$38*8760/2000</f>
        <v>0</v>
      </c>
    </row>
    <row r="39" spans="1:11" x14ac:dyDescent="0.25">
      <c r="A39" s="2">
        <f>Inputs!A60</f>
        <v>0</v>
      </c>
      <c r="B39" s="2">
        <f>Inputs!C60</f>
        <v>0</v>
      </c>
      <c r="C39" s="2"/>
      <c r="D39" s="2" t="str">
        <f>Inputs!B60</f>
        <v>Select</v>
      </c>
      <c r="E39" s="2">
        <f>(VLOOKUP($D39,'Aux Heaters EFs'!$B$42:$J$45,2,FALSE))*$B$39*8760/2000</f>
        <v>0</v>
      </c>
      <c r="F39" s="2">
        <f>(VLOOKUP($D39,'Aux Heaters EFs'!$B$42:$J$45,3,FALSE))*$B$39*8760/2000</f>
        <v>0</v>
      </c>
      <c r="G39" s="2">
        <f>(VLOOKUP($D39,'Aux Heaters EFs'!$B$42:$J$45,4,FALSE))*$B$39*8760/2000</f>
        <v>0</v>
      </c>
      <c r="H39" s="2">
        <f>(VLOOKUP($D39,'Aux Heaters EFs'!$B$42:$J$45,5,FALSE))*$B$39*8760/2000</f>
        <v>0</v>
      </c>
      <c r="I39" s="2">
        <f>(VLOOKUP($D39,'Aux Heaters EFs'!$B$42:$J$45,6,FALSE))*$B$39*8760/2000</f>
        <v>0</v>
      </c>
      <c r="J39" s="2">
        <f>(VLOOKUP($D39,'Aux Heaters EFs'!$B$42:$J$45,7,FALSE))*$B$39*8760/2000</f>
        <v>0</v>
      </c>
      <c r="K39" s="2">
        <f>(VLOOKUP($D39,'Aux Heaters EFs'!$B$42:$J$45,8,FALSE))*$B$39*8760/2000</f>
        <v>0</v>
      </c>
    </row>
    <row r="40" spans="1:11" x14ac:dyDescent="0.25">
      <c r="A40" s="2">
        <f>Inputs!A61</f>
        <v>0</v>
      </c>
      <c r="B40" s="2">
        <f>Inputs!C61</f>
        <v>0</v>
      </c>
      <c r="C40" s="2"/>
      <c r="D40" s="2" t="str">
        <f>Inputs!B61</f>
        <v>Select</v>
      </c>
      <c r="E40" s="2">
        <f>(VLOOKUP($D40,'Aux Heaters EFs'!$B$42:$J$45,2,FALSE))*$B$40*8760/2000</f>
        <v>0</v>
      </c>
      <c r="F40" s="2">
        <f>(VLOOKUP($D40,'Aux Heaters EFs'!$B$42:$J$45,3,FALSE))*$B$40*8760/2000</f>
        <v>0</v>
      </c>
      <c r="G40" s="2">
        <f>(VLOOKUP($D40,'Aux Heaters EFs'!$B$42:$J$45,4,FALSE))*$B$40*8760/2000</f>
        <v>0</v>
      </c>
      <c r="H40" s="2">
        <f>(VLOOKUP($D40,'Aux Heaters EFs'!$B$42:$J$45,5,FALSE))*$B$40*8760/2000</f>
        <v>0</v>
      </c>
      <c r="I40" s="2">
        <f>(VLOOKUP($D40,'Aux Heaters EFs'!$B$42:$J$45,6,FALSE))*$B$40*8760/2000</f>
        <v>0</v>
      </c>
      <c r="J40" s="2">
        <f>(VLOOKUP($D40,'Aux Heaters EFs'!$B$42:$J$45,7,FALSE))*$B$40*8760/2000</f>
        <v>0</v>
      </c>
      <c r="K40" s="2">
        <f>(VLOOKUP($D40,'Aux Heaters EFs'!$B$42:$J$45,8,FALSE))*$B$40*8760/2000</f>
        <v>0</v>
      </c>
    </row>
    <row r="41" spans="1:11" x14ac:dyDescent="0.25">
      <c r="D41" s="6" t="s">
        <v>128</v>
      </c>
      <c r="E41" s="2">
        <f>SUM(E33:E40)</f>
        <v>3.6070588235294117</v>
      </c>
      <c r="F41" s="2">
        <f t="shared" ref="F41:K41" si="4">SUM(F33:F40)</f>
        <v>4.2941176470588234</v>
      </c>
      <c r="G41" s="2">
        <f t="shared" si="4"/>
        <v>2.5764705882352943E-2</v>
      </c>
      <c r="H41" s="2">
        <f t="shared" si="4"/>
        <v>0.23617647058823529</v>
      </c>
      <c r="I41" s="2">
        <f t="shared" si="4"/>
        <v>0.32635294117647062</v>
      </c>
      <c r="J41" s="2">
        <f t="shared" si="4"/>
        <v>0.32635294117647062</v>
      </c>
      <c r="K41" s="2">
        <f t="shared" si="4"/>
        <v>0.32635294117647062</v>
      </c>
    </row>
    <row r="42" spans="1:11" x14ac:dyDescent="0.25">
      <c r="A42" s="3"/>
      <c r="B42" s="3"/>
      <c r="C42" s="3"/>
      <c r="D42" s="3"/>
      <c r="E42" s="3"/>
      <c r="F42" s="3"/>
      <c r="G42" s="3"/>
      <c r="H42" s="3"/>
      <c r="I42" s="3"/>
      <c r="J42" s="3"/>
      <c r="K42" s="3"/>
    </row>
    <row r="45" spans="1:11" ht="45.75" customHeight="1" x14ac:dyDescent="0.25">
      <c r="A45" s="76" t="s">
        <v>87</v>
      </c>
      <c r="B45" s="76"/>
      <c r="C45" s="76"/>
      <c r="D45" s="76"/>
      <c r="E45" s="76"/>
      <c r="F45" s="76"/>
      <c r="G45" s="76"/>
      <c r="H45" s="76"/>
      <c r="I45" s="76"/>
      <c r="J45" s="76"/>
      <c r="K45" s="76"/>
    </row>
  </sheetData>
  <mergeCells count="4">
    <mergeCell ref="E4:K4"/>
    <mergeCell ref="A1:J1"/>
    <mergeCell ref="A2:J2"/>
    <mergeCell ref="A45:K45"/>
  </mergeCells>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2015-05-13T00:19:11+00:00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29f62856-1543-49d4-a736-4569d363f533" ContentTypeId="0x0101" PreviousValue="false"/>
</file>

<file path=customXml/item4.xml><?xml version="1.0" encoding="utf-8"?>
<ct:contentTypeSchema xmlns:ct="http://schemas.microsoft.com/office/2006/metadata/contentType" xmlns:ma="http://schemas.microsoft.com/office/2006/metadata/properties/metaAttributes" ct:_="" ma:_="" ma:contentTypeName="Document" ma:contentTypeID="0x010100633C5759576ED84DB9151A5871DF9DE1" ma:contentTypeVersion="20" ma:contentTypeDescription="Create a new document." ma:contentTypeScope="" ma:versionID="9c3084a142daa5dcd9446c8126698eda">
  <xsd:schema xmlns:xsd="http://www.w3.org/2001/XMLSchema" xmlns:xs="http://www.w3.org/2001/XMLSchema" xmlns:p="http://schemas.microsoft.com/office/2006/metadata/properties" xmlns:ns1="http://schemas.microsoft.com/sharepoint/v3" xmlns:ns3="4ffa91fb-a0ff-4ac5-b2db-65c790d184a4" xmlns:ns4="http://schemas.microsoft.com/sharepoint.v3" xmlns:ns5="http://schemas.microsoft.com/sharepoint/v3/fields" xmlns:ns6="50d72e6c-d395-4887-b8d1-0a008e0da19f" targetNamespace="http://schemas.microsoft.com/office/2006/metadata/properties" ma:root="true" ma:fieldsID="cd2fd11d5ac8132ca79587073033bfe6" ns1:_="" ns3:_="" ns4:_="" ns5:_="" ns6:_="">
    <xsd:import namespace="http://schemas.microsoft.com/sharepoint/v3"/>
    <xsd:import namespace="4ffa91fb-a0ff-4ac5-b2db-65c790d184a4"/>
    <xsd:import namespace="http://schemas.microsoft.com/sharepoint.v3"/>
    <xsd:import namespace="http://schemas.microsoft.com/sharepoint/v3/fields"/>
    <xsd:import namespace="50d72e6c-d395-4887-b8d1-0a008e0da19f"/>
    <xsd:element name="properties">
      <xsd:complexType>
        <xsd:sequence>
          <xsd:element name="documentManagement">
            <xsd:complexType>
              <xsd:all>
                <xsd:element ref="ns3:Document_x0020_Creation_x0020_Date" minOccurs="0"/>
                <xsd:element ref="ns3:Creator" minOccurs="0"/>
                <xsd:element ref="ns3:EPA_x0020_Office" minOccurs="0"/>
                <xsd:element ref="ns3:Record"/>
                <xsd:element ref="ns4:CategoryDescription" minOccurs="0"/>
                <xsd:element ref="ns3:Identifier" minOccurs="0"/>
                <xsd:element ref="ns3:EPA_x0020_Contributor" minOccurs="0"/>
                <xsd:element ref="ns3:External_x0020_Contributor" minOccurs="0"/>
                <xsd:element ref="ns5:_Coverage" minOccurs="0"/>
                <xsd:element ref="ns3:EPA_x0020_Related_x0020_Documents" minOccurs="0"/>
                <xsd:element ref="ns5:_Source" minOccurs="0"/>
                <xsd:element ref="ns3:Rights" minOccurs="0"/>
                <xsd:element ref="ns1:Language" minOccurs="0"/>
                <xsd:element ref="ns3:j747ac98061d40f0aa7bd47e1db5675d" minOccurs="0"/>
                <xsd:element ref="ns3:TaxKeywordTaxHTField" minOccurs="0"/>
                <xsd:element ref="ns3:TaxCatchAllLabel" minOccurs="0"/>
                <xsd:element ref="ns3:TaxCatchAll" minOccurs="0"/>
                <xsd:element ref="ns6:SharedWithUsers" minOccurs="0"/>
                <xsd:element ref="ns6:SharedWithDetails" minOccurs="0"/>
                <xsd:element ref="ns6: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293223e-1350-4ffd-a51d-a02750f92ecb}" ma:internalName="TaxCatchAllLabel" ma:readOnly="true" ma:showField="CatchAllDataLabel" ma:web="50d72e6c-d395-4887-b8d1-0a008e0da19f">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293223e-1350-4ffd-a51d-a02750f92ecb}" ma:internalName="TaxCatchAll" ma:showField="CatchAllData" ma:web="50d72e6c-d395-4887-b8d1-0a008e0da19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d72e6c-d395-4887-b8d1-0a008e0da19f" elementFormDefault="qualified">
    <xsd:import namespace="http://schemas.microsoft.com/office/2006/documentManagement/types"/>
    <xsd:import namespace="http://schemas.microsoft.com/office/infopath/2007/PartnerControls"/>
    <xsd:element name="SharedWithUsers" ma:index="2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9" nillable="true" ma:displayName="Shared With Details" ma:description="" ma:internalName="SharedWithDetails" ma:readOnly="true">
      <xsd:simpleType>
        <xsd:restriction base="dms:Note">
          <xsd:maxLength value="255"/>
        </xsd:restriction>
      </xsd:simpleType>
    </xsd:element>
    <xsd:element name="SharingHintHash" ma:index="30" nillable="true" ma:displayName="Sharing Hint Hash" ma:description=""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562256-D506-4A8B-BC04-A32AB4536680}">
  <ds:schemaRefs>
    <ds:schemaRef ds:uri="http://schemas.microsoft.com/sharepoint/v3/fields"/>
    <ds:schemaRef ds:uri="http://schemas.microsoft.com/office/2006/documentManagement/types"/>
    <ds:schemaRef ds:uri="50d72e6c-d395-4887-b8d1-0a008e0da19f"/>
    <ds:schemaRef ds:uri="4ffa91fb-a0ff-4ac5-b2db-65c790d184a4"/>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sharepoint/v3"/>
    <ds:schemaRef ds:uri="http://purl.org/dc/elements/1.1/"/>
    <ds:schemaRef ds:uri="http://schemas.microsoft.com/sharepoint.v3"/>
    <ds:schemaRef ds:uri="http://www.w3.org/XML/1998/namespace"/>
    <ds:schemaRef ds:uri="http://purl.org/dc/dcmitype/"/>
  </ds:schemaRefs>
</ds:datastoreItem>
</file>

<file path=customXml/itemProps2.xml><?xml version="1.0" encoding="utf-8"?>
<ds:datastoreItem xmlns:ds="http://schemas.openxmlformats.org/officeDocument/2006/customXml" ds:itemID="{07315B14-F4F3-47C8-9A42-FB964ACE65EF}">
  <ds:schemaRefs>
    <ds:schemaRef ds:uri="http://schemas.microsoft.com/sharepoint/v3/contenttype/forms"/>
  </ds:schemaRefs>
</ds:datastoreItem>
</file>

<file path=customXml/itemProps3.xml><?xml version="1.0" encoding="utf-8"?>
<ds:datastoreItem xmlns:ds="http://schemas.openxmlformats.org/officeDocument/2006/customXml" ds:itemID="{417D4D7C-1570-4F76-8200-B56E4C8B68F7}">
  <ds:schemaRefs>
    <ds:schemaRef ds:uri="Microsoft.SharePoint.Taxonomy.ContentTypeSync"/>
  </ds:schemaRefs>
</ds:datastoreItem>
</file>

<file path=customXml/itemProps4.xml><?xml version="1.0" encoding="utf-8"?>
<ds:datastoreItem xmlns:ds="http://schemas.openxmlformats.org/officeDocument/2006/customXml" ds:itemID="{F8566290-A6D9-42EE-AD2C-A3EC21FBAA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50d72e6c-d395-4887-b8d1-0a008e0da1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Inputs</vt:lpstr>
      <vt:lpstr>Output</vt:lpstr>
      <vt:lpstr>Emission Factors</vt:lpstr>
      <vt:lpstr>Aux Heaters EFs</vt:lpstr>
      <vt:lpstr>Emissions</vt:lpstr>
    </vt:vector>
  </TitlesOfParts>
  <Company>US-EPA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lbeckham</dc:creator>
  <cp:lastModifiedBy>EPA</cp:lastModifiedBy>
  <dcterms:created xsi:type="dcterms:W3CDTF">2014-01-03T20:29:33Z</dcterms:created>
  <dcterms:modified xsi:type="dcterms:W3CDTF">2016-07-01T17:12:51Z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0x010100633C5759576ED84DB9151A5871DF9DE1</vt:lpwstr>
  </property>
  <property fmtid="{D5CDD505-2E9C-101B-9397-08002B2CF9AE}" pid="3" name="TaxKeyword">
    <vt:lpwstr/>
  </property>
  <property fmtid="{D5CDD505-2E9C-101B-9397-08002B2CF9AE}" pid="4" name="Document Type">
    <vt:lpwstr/>
  </property>
</Properties>
</file>