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usepa-my.sharepoint.com/personal/valladolid_catherine_epa_gov/Documents/"/>
    </mc:Choice>
  </mc:AlternateContent>
  <xr:revisionPtr revIDLastSave="66" documentId="8_{BD48889B-136E-4322-A882-5DC7461FFB4F}" xr6:coauthVersionLast="47" xr6:coauthVersionMax="47" xr10:uidLastSave="{D275AF04-DE51-40AE-B18B-4F8ECD50DAC7}"/>
  <bookViews>
    <workbookView xWindow="-120" yWindow="-120" windowWidth="29040" windowHeight="15720" tabRatio="771" activeTab="3" xr2:uid="{00000000-000D-0000-FFFF-FFFF00000000}"/>
    <workbookView xWindow="14295" yWindow="0" windowWidth="14610" windowHeight="15585" activeTab="3" xr2:uid="{32E810A0-53E0-4A56-BE2E-80880EA3DBD7}"/>
  </bookViews>
  <sheets>
    <sheet name="Inputs" sheetId="8" r:id="rId1"/>
    <sheet name="Output" sheetId="13" r:id="rId2"/>
    <sheet name="Calculations" sheetId="1" r:id="rId3"/>
    <sheet name="Revisions" sheetId="21" r:id="rId4"/>
    <sheet name="DV-IDENTITY-0" sheetId="20" state="veryHidden" r:id="rId5"/>
  </sheets>
  <definedNames>
    <definedName name="_xlnm.Print_Area" localSheetId="2">Calculations!$A$1:$G$37</definedName>
    <definedName name="_xlnm.Print_Area" localSheetId="0">Inputs!$A$1:$E$24</definedName>
    <definedName name="_xlnm.Print_Area" localSheetId="1">Output!$A$1:$E$14</definedName>
    <definedName name="_xlnm.Print_Are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A6" i="13"/>
  <c r="B25" i="1"/>
  <c r="B8" i="1"/>
  <c r="B9" i="1"/>
  <c r="B6" i="1"/>
  <c r="B5" i="1"/>
  <c r="F11" i="1"/>
  <c r="B7" i="1"/>
  <c r="G26" i="1"/>
  <c r="B26" i="1"/>
  <c r="IT8" i="20"/>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F10" i="1"/>
  <c r="IE44" i="20"/>
  <c r="IF44" i="20"/>
  <c r="IG44" i="20"/>
  <c r="IH44" i="20"/>
  <c r="II44" i="20"/>
  <c r="IJ44" i="20"/>
  <c r="IK44" i="20"/>
  <c r="IL44" i="20"/>
  <c r="IM44" i="20"/>
  <c r="IN44" i="20"/>
  <c r="IO44" i="20"/>
  <c r="IP44" i="20"/>
  <c r="IQ44" i="20"/>
  <c r="IR44" i="20"/>
  <c r="IS44" i="20"/>
  <c r="IT44" i="20"/>
  <c r="IU44" i="20"/>
  <c r="B11" i="1"/>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T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U8" i="20"/>
  <c r="IV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CG18" i="20"/>
  <c r="CE18" i="20"/>
  <c r="GJ68" i="20"/>
  <c r="AK34" i="20"/>
  <c r="AG34" i="20"/>
  <c r="Y32" i="20"/>
  <c r="HV42" i="20"/>
  <c r="AA32" i="20"/>
  <c r="AH34" i="20"/>
  <c r="AL34" i="20"/>
  <c r="HU42" i="20"/>
  <c r="M76" i="20"/>
  <c r="AM34" i="20"/>
  <c r="AI34" i="20"/>
  <c r="AS25" i="20"/>
  <c r="HW42" i="20"/>
  <c r="S32" i="20"/>
  <c r="W32" i="20"/>
  <c r="GI68" i="20"/>
  <c r="GC68" i="20"/>
  <c r="GB68" i="20"/>
  <c r="FY68" i="20"/>
  <c r="O17" i="20"/>
  <c r="AT25" i="20"/>
  <c r="U32" i="20"/>
  <c r="Z32" i="20"/>
  <c r="FZ68" i="20"/>
  <c r="GE68" i="20"/>
  <c r="GD68" i="20"/>
  <c r="J10" i="20"/>
  <c r="F40" i="20"/>
  <c r="K18" i="20"/>
  <c r="X32" i="20"/>
  <c r="J11" i="20"/>
  <c r="J12" i="20"/>
  <c r="BY18" i="20"/>
  <c r="BZ18" i="20"/>
  <c r="J13" i="20"/>
  <c r="CC18" i="20"/>
  <c r="CB18" i="20"/>
  <c r="CD18" i="20"/>
  <c r="Q32" i="20"/>
  <c r="L27" i="20"/>
  <c r="CA18" i="20"/>
  <c r="AQ25" i="20"/>
  <c r="AR25" i="20"/>
  <c r="FI13" i="20"/>
  <c r="C9" i="20"/>
  <c r="B9" i="20"/>
  <c r="HR42" i="20"/>
  <c r="FE13" i="20"/>
  <c r="D9" i="20"/>
  <c r="HQ42" i="20"/>
  <c r="FF13" i="20"/>
  <c r="HS42" i="20"/>
  <c r="FH13" i="20"/>
  <c r="FG13" i="20"/>
  <c r="HT42" i="20"/>
  <c r="V32" i="20"/>
  <c r="A9" i="20"/>
  <c r="B10" i="1"/>
  <c r="H24" i="1"/>
  <c r="F9" i="20"/>
  <c r="C23" i="1"/>
  <c r="C24" i="1"/>
  <c r="C25" i="1"/>
  <c r="H25" i="1"/>
  <c r="H23" i="1"/>
  <c r="E9" i="20"/>
  <c r="C26" i="1"/>
  <c r="H26" i="1"/>
  <c r="C4" i="13"/>
</calcChain>
</file>

<file path=xl/sharedStrings.xml><?xml version="1.0" encoding="utf-8"?>
<sst xmlns="http://schemas.openxmlformats.org/spreadsheetml/2006/main" count="113" uniqueCount="95">
  <si>
    <t>(ton/yr)</t>
  </si>
  <si>
    <t>AAAAAH/l/sI=</t>
  </si>
  <si>
    <t xml:space="preserve"> </t>
  </si>
  <si>
    <t>Methodology</t>
  </si>
  <si>
    <t>(lb/1,000 gal)</t>
  </si>
  <si>
    <r>
      <t xml:space="preserve">Storage Tank Filling </t>
    </r>
    <r>
      <rPr>
        <vertAlign val="superscript"/>
        <sz val="10"/>
        <rFont val="Arial"/>
        <family val="2"/>
      </rPr>
      <t>1</t>
    </r>
  </si>
  <si>
    <t xml:space="preserve">Emission factors are from AP 42, Chapter 5.2, Transportation and Marketing of Petroleum Liquids, Table 5.2-7, (June 2008), except where noted. </t>
  </si>
  <si>
    <r>
      <t xml:space="preserve">Storage Tank Breathing Losses </t>
    </r>
    <r>
      <rPr>
        <vertAlign val="superscript"/>
        <sz val="10"/>
        <rFont val="Arial"/>
        <family val="2"/>
      </rPr>
      <t>2</t>
    </r>
  </si>
  <si>
    <r>
      <rPr>
        <vertAlign val="superscript"/>
        <sz val="10"/>
        <rFont val="Arial"/>
        <family val="2"/>
      </rPr>
      <t>1</t>
    </r>
    <r>
      <rPr>
        <sz val="10"/>
        <rFont val="Arial"/>
        <family val="2"/>
      </rPr>
      <t xml:space="preserve"> Assume Stage 1 controls are in place. 40 CFR 63, Subpart CCCCCC requires that new or modified gasoline dispensing facilities with a monthly throughput greater than 100,000 gallons per month install Stage 1 vapor balance system that achieves a 90% emissions reduction.</t>
    </r>
  </si>
  <si>
    <t>The facility wide emissions will be displayed on the "Output" sheet.</t>
  </si>
  <si>
    <t>gallons/year</t>
  </si>
  <si>
    <t>Totals</t>
  </si>
  <si>
    <t>Attainment</t>
  </si>
  <si>
    <t>Nonattainment</t>
  </si>
  <si>
    <t>Potential to Emit (tons VOC/year)</t>
  </si>
  <si>
    <t>Facility Profile - User Inputs</t>
  </si>
  <si>
    <t>A vehicle refueling position is a single gasoline dispensing machine and its associated nozzle(s). The total number of vehicle refueling positions at your GDF is the number of gasoline-fueled vehicles that can be refueled simultaneously.</t>
  </si>
  <si>
    <t>Number of hours of GDF operation per day</t>
  </si>
  <si>
    <t>Number of days per year open for business</t>
  </si>
  <si>
    <t>hours</t>
  </si>
  <si>
    <t>days/year</t>
  </si>
  <si>
    <t>hours/day</t>
  </si>
  <si>
    <t>Location - Ozone Attainment Status</t>
  </si>
  <si>
    <t>Notes:</t>
  </si>
  <si>
    <t>gal/refueling event</t>
  </si>
  <si>
    <t xml:space="preserve">End of </t>
  </si>
  <si>
    <t xml:space="preserve">Calendar </t>
  </si>
  <si>
    <t>Year</t>
  </si>
  <si>
    <t>ORVR</t>
  </si>
  <si>
    <t>Percent</t>
  </si>
  <si>
    <t>Control</t>
  </si>
  <si>
    <t>O3 NA Area</t>
  </si>
  <si>
    <t>VOC EF</t>
  </si>
  <si>
    <t>lb/1000 gal</t>
  </si>
  <si>
    <t xml:space="preserve">O3 Attain Area </t>
  </si>
  <si>
    <t>Lookup Values for Dispensing Emissions</t>
  </si>
  <si>
    <t>What is the current year?</t>
  </si>
  <si>
    <t>Enter the current year (a number between 2013 and 2030).</t>
  </si>
  <si>
    <t>Gasoline Vehicle Refueling Positions</t>
  </si>
  <si>
    <t>Potential to Emit VOC</t>
  </si>
  <si>
    <t>What is the number of gasoline only refueling positions at your dispensing facility?</t>
  </si>
  <si>
    <t>What is the number of heavy-duty (HD) truck diesel refueling positions at your facility?</t>
  </si>
  <si>
    <t>A HD truck (e.g., over the road) refueling position is a single diesel fuel dispenser and its associated nozzle(s). The total number of HD truck refueling positions at your facility is the number of HD trucks that can be refueled simultaneously.</t>
  </si>
  <si>
    <t>These are normally multi-grade dispensers with separate gasoline and diesel fuel nozzles on the same dispenser. These are used primarily to refuel automotive and light truck type vehicles.</t>
  </si>
  <si>
    <t>Automotive dispensers with gasoline or diesel</t>
  </si>
  <si>
    <t>HD truck diesel refueling positions</t>
  </si>
  <si>
    <r>
      <rPr>
        <vertAlign val="superscript"/>
        <sz val="10"/>
        <rFont val="Arial"/>
        <family val="2"/>
      </rPr>
      <t>4</t>
    </r>
    <r>
      <rPr>
        <sz val="10"/>
        <rFont val="Arial"/>
        <family val="2"/>
      </rPr>
      <t xml:space="preserve"> Even though spillage is a specific category of emissions related to fuel dispensing in AP-42, it is considered a fugitive emission for purposes of NSR permits and thus is not included here.
</t>
    </r>
  </si>
  <si>
    <t>Internally fixed values -- HD truck diesel</t>
  </si>
  <si>
    <t xml:space="preserve">This sheet calculates the maximum fuel throughput, based on the number of vehicle refueling positions at your GDF. The calculations use fixed values for hours of operation, the time required for each refueling event, and the average amount of fuel dispensed per refueling event. 
The sheet than calculates the emissions of VOC from your GDF, based on emissions factors and the attainment status of your location.  Note that while this calculator is designed primarily to address emissions of gasoline vapor, it includes algorithms to account for diesel fuel vapor as well and could even be used if the sole fuel dispensed was diesel. </t>
  </si>
  <si>
    <t>Internally fixed values in calculation -- gasoline and automotive/nonroad diesel</t>
  </si>
  <si>
    <t xml:space="preserve">Average time between start of refueling events  </t>
  </si>
  <si>
    <t>Number of gallons per refueling event</t>
  </si>
  <si>
    <t>Automotive/Nonroad Diesel Refueling Positions</t>
  </si>
  <si>
    <t>Max. Automotive/Nonroad Diesel Throughput</t>
  </si>
  <si>
    <t>A vehicle refueling position is a single diesel fuel dispenser and its associated nozzle(s). The total number of automotive/nonroad only diesel refueling positions at your facility is the number of automotive-type vehicles (passenger car, light truck)or nonroad equipment that can be refueled simultaneously.  This count would include free standing aboveground tanks used to refuel nonroad equipment.</t>
  </si>
  <si>
    <t>What is the number of automotive/ nonroad diesel only refueling positions at your facility?</t>
  </si>
  <si>
    <r>
      <t xml:space="preserve">Description </t>
    </r>
    <r>
      <rPr>
        <vertAlign val="superscript"/>
        <sz val="10"/>
        <rFont val="Arial"/>
        <family val="2"/>
      </rPr>
      <t>4</t>
    </r>
  </si>
  <si>
    <t>Max. Combined Automotive plus HD Truck Diesel Throughput</t>
  </si>
  <si>
    <t>Max. Gasoline Throughput If No Automotive/nonroad Diesel</t>
  </si>
  <si>
    <t>Max. HD Truck Diesel</t>
  </si>
  <si>
    <t>%/year</t>
  </si>
  <si>
    <t>Maximum Throughput (gal/yr) = vehicle refueling positions / refueling event time (hrs) x hours of operation (hr/yr) x fuel dispensed (gal/refueling event)</t>
  </si>
  <si>
    <t>Potential to Emit of VOC (tons/yr) = Maximum Throughput (gal/yr) x VOC Emission Factor (lb/1,000 gal) x 1 ton/2,000 lbs</t>
  </si>
  <si>
    <r>
      <rPr>
        <vertAlign val="superscript"/>
        <sz val="10"/>
        <rFont val="Arial"/>
        <family val="2"/>
      </rPr>
      <t>2</t>
    </r>
    <r>
      <rPr>
        <sz val="10"/>
        <rFont val="Arial"/>
        <family val="2"/>
      </rPr>
      <t xml:space="preserve"> 40 CFR 63, Subpart CCCCCC requires that new or modified gasoline dispensing facilities with a monthly throughput greater than 100,000 gallons per month install pressure/vacuum (PV) vent valves on the storage tank vent pipes. This model uses a 75 percent efficiency for PV valves in reducing breathing losses. </t>
    </r>
  </si>
  <si>
    <r>
      <rPr>
        <vertAlign val="superscript"/>
        <sz val="10"/>
        <rFont val="Arial"/>
        <family val="2"/>
      </rPr>
      <t>3</t>
    </r>
    <r>
      <rPr>
        <sz val="10"/>
        <rFont val="Arial"/>
        <family val="2"/>
      </rPr>
      <t xml:space="preserve"> The displacement VOC emission rate in lbs/1000 gallons depends on the gasoline Reid Vapor Pressure, the dispensed fuel temperature, and the difference between the temperature of the fuel in the tank and the dispensed fuel. For these purposes EPA calculated the uncontrolled displacement VOC emission rate in lbs/1000 gallons. EPA has used 10 psi RVP and national average summer-time temperatures for ozone attainment areas. This yields a value of about 10.8 lbs/1000 gallons. EPA has used 7 psi RVP and temperatures representative of the summer-time western US for ozone non-attainment areas. This yields a value of about 7.5 lbs/1000 gallons. In 76 FR 41723, EPA determined that 80% of the vehicle fleet will have ORVR installed as of 2014, and widespread use will be achieved on a national basis on June 30, 2013. Therefore, this value has been reduced by 80% for 2014 and increases each year subsequent to 2014 as fleet turnover occurs.
See memorandum to Public Docket EPA-HQ-OAR-2010-1076, Updated Data for ORVR Widespread Use Assessment, Glenn Passavant, OTAQ, 2012 and
U.S.EPA, Guidance on Removing Stage II Gasoline Vapor Control Programs from State Implementation Plans and Assessing Comparable Measures, EPA-457/B-12-001, August 7, 2012.</t>
    </r>
  </si>
  <si>
    <r>
      <t xml:space="preserve">Dispensing </t>
    </r>
    <r>
      <rPr>
        <vertAlign val="superscript"/>
        <sz val="10"/>
        <rFont val="Arial"/>
        <family val="2"/>
      </rPr>
      <t>3</t>
    </r>
  </si>
  <si>
    <t xml:space="preserve">Storage Tank Filling </t>
  </si>
  <si>
    <t>Storage Tank Breathing Losses</t>
  </si>
  <si>
    <t>Dispensing</t>
  </si>
  <si>
    <r>
      <t>VOC Emission factor</t>
    </r>
    <r>
      <rPr>
        <vertAlign val="superscript"/>
        <sz val="10"/>
        <rFont val="Arial"/>
        <family val="2"/>
      </rPr>
      <t>5</t>
    </r>
  </si>
  <si>
    <r>
      <rPr>
        <b/>
        <sz val="10"/>
        <rFont val="Arial"/>
        <family val="2"/>
      </rPr>
      <t>This workbook is designed to calculate the potential to emit of your gasoline dispensing facility.</t>
    </r>
    <r>
      <rPr>
        <sz val="10"/>
        <rFont val="Arial"/>
        <family val="2"/>
      </rPr>
      <t xml:space="preserve">
The gasoline dispensing facility (GDF) owner/operator shall provide two pieces of information. These include whether or not the GDF is in a designated ozone nonattainment area and the number of vehicle refueling positions at the GDF for both gasoline and diesel vehicles. Ozone attainment/nonattainment designation status can be found at http://www.epa.gov/oar/oaqps/greenbk/hindex.html .</t>
    </r>
  </si>
  <si>
    <t>Percent of refueling events which use automotive diesel dispensers</t>
  </si>
  <si>
    <r>
      <rPr>
        <vertAlign val="superscript"/>
        <sz val="10"/>
        <rFont val="Arial"/>
        <family val="2"/>
      </rPr>
      <t>5</t>
    </r>
    <r>
      <rPr>
        <sz val="10"/>
        <rFont val="Arial"/>
        <family val="2"/>
      </rPr>
      <t xml:space="preserve"> Diesel emission factors were derived using the no.2 diesel true vapor pressure and vapor molecular weight from AP-42 Table 7.1-2 at 70F and equation 1 of section 5.2.2 with an S factor value of 1.45 for storage tank and vehicle tank filling and an S factor of 1.0 for breathing losses.   </t>
    </r>
  </si>
  <si>
    <t>Potential to Emit VOC (tons/yr)</t>
  </si>
  <si>
    <t>VOC Emission factor       (lb/1,000 gal)</t>
  </si>
  <si>
    <r>
      <t>Add'l Emissions for Small Volume GDFs</t>
    </r>
    <r>
      <rPr>
        <vertAlign val="superscript"/>
        <sz val="10"/>
        <rFont val="Arial"/>
        <family val="2"/>
      </rPr>
      <t>6</t>
    </r>
  </si>
  <si>
    <r>
      <t>Gasoline VOC Emissions -- apply these values to GDFs using USTs or ASTs</t>
    </r>
    <r>
      <rPr>
        <b/>
        <vertAlign val="superscript"/>
        <sz val="10"/>
        <rFont val="Arial"/>
        <family val="2"/>
      </rPr>
      <t>7</t>
    </r>
  </si>
  <si>
    <t>Diesel VOC Emissions -- apply these values to GDFs using USTs or ASTs</t>
  </si>
  <si>
    <t>Potential To Emit Calculator for Gasoline Dispensing Facilities - Inputs</t>
  </si>
  <si>
    <t>Potential To Emit Calculator for Gasoline Dispensing Facilities - Outputs</t>
  </si>
  <si>
    <t>Potential To Emit Calculator for Gasoline Dispensing Facilities</t>
  </si>
  <si>
    <r>
      <rPr>
        <vertAlign val="superscript"/>
        <sz val="10"/>
        <rFont val="Arial"/>
        <family val="2"/>
      </rPr>
      <t>7</t>
    </r>
    <r>
      <rPr>
        <sz val="10"/>
        <rFont val="Arial"/>
        <family val="2"/>
      </rPr>
      <t xml:space="preserve"> Using  these values for an  AST assumes a 45% average ullage in  a 2000 gal AST</t>
    </r>
    <r>
      <rPr>
        <b/>
        <sz val="10"/>
        <rFont val="Arial"/>
        <family val="2"/>
      </rPr>
      <t xml:space="preserve"> </t>
    </r>
  </si>
  <si>
    <r>
      <rPr>
        <vertAlign val="superscript"/>
        <sz val="10"/>
        <rFont val="Arial"/>
        <family val="2"/>
      </rPr>
      <t>6</t>
    </r>
    <r>
      <rPr>
        <sz val="10"/>
        <rFont val="Arial"/>
        <family val="2"/>
      </rPr>
      <t xml:space="preserve"> GDFs with a gasoline throughput of &lt; 10,000 gallons per month have higher storage tank filling and breathing loss emissions because they are not required to install Stage I vapor recovery controls under 40 CFR 63 CCCCCC.</t>
    </r>
  </si>
  <si>
    <t>5/8/2024 - Version 2.0</t>
  </si>
  <si>
    <t>List of Revisions to Calculator</t>
  </si>
  <si>
    <t>Comments</t>
  </si>
  <si>
    <t>Change made by</t>
  </si>
  <si>
    <t>Version 1.0</t>
  </si>
  <si>
    <t>Version 2.0</t>
  </si>
  <si>
    <t>Catherine Valladolid, EPA Region 9</t>
  </si>
  <si>
    <t>What is the number of  refueling positions at dispensers capable of refueling with either gasoline or diesel?</t>
  </si>
  <si>
    <t>Directions - Enter the facility's information in the yellow-highlighted boxes below. To determine the PTE of all new and/or existing equipment enter information for the entire GDF. To determine the emissions increases of your modified existing GDF, only enter information related to the equipment being modified or newly installed.</t>
  </si>
  <si>
    <t>What is your ozone designation status?</t>
  </si>
  <si>
    <t>Select either attainment or nonattainment based on the ozone designation status at the location of your gasoline dispensing facility. Ozone designation status can be found at https://www.epa.gov/green-book or you can contact your reviewing authority.</t>
  </si>
  <si>
    <r>
      <t xml:space="preserve">(1) Clarified the instructions on the Inputs sheet in cell B5. Previously stated: "Directions - Enter the facility's information in the yellow-highlighted boxes below." Revised to: "Directions - Enter the facility's information in the yellow-highlighted boxes below. To determine the PTE of all new and/or existing equipment enter information for the entire GDF. To determine the emissions increases of your modified existing GDF, only enter information related to the equipment being modified or newly installed."
(2) Corrected error on Inputs sheet cell B16. Previously asked: "What is the number of dispensers capable of refueling with either gasoline or diesel?". This is incorrect as the calculator uses the number of refueling positions to determine potential emissionts. Question revised to: "What is the number of  refueling positions at dispensers capable of refueling with either gasoline or diesel?"
(3) Adjusted the language in cells B20 and B21 of the Inputs sheet. Previously, B20 stated: "Ozone designation status can be found at http://www.epa.gov/oar/oaqps/greenbk/hindex.html or contact your reviewing authority" and cell B21 stated: "Enter either attainment or nonattainment." Now, B21 asks: "What is your ozone designation status?" and B22 states: "Select either attainment or nonattainment based on the ozone designation status at the location of your gasoline dispensing facility. Ozone designation status can be found at https://www.epa.gov/green-book or you can contact your reviewing authority."
(4) Changed the highlight color on the Inputs sheet of cells E14, E16, E18, and E20 from orange to yellow to match cells B25 and E23.
(5) Added Data Validation to cell E20 on the inputs sheet so that "attainment" and "nonattainment" are the only acceptable options. Both are selectable from a drop-down menu.
(6) Corrected emissions factor on Calculations sheet, cell B22. Value was previously 11.95. Based on AP 42, Chapter 5.2, Transportation and Marketing of Petroleum Liquids, Table 5.2-7, (June 2008), the value should be 11.5.
(7) Corrected error on Calculations sheet, cells C22 and D22. C22 previously contained the formula </t>
    </r>
    <r>
      <rPr>
        <b/>
        <sz val="11"/>
        <rFont val="Calibri"/>
        <family val="2"/>
        <scheme val="minor"/>
      </rPr>
      <t xml:space="preserve">=IF(B10&lt;120000,$D$22,0) </t>
    </r>
    <r>
      <rPr>
        <sz val="11"/>
        <rFont val="Calibri"/>
        <family val="2"/>
        <scheme val="minor"/>
      </rPr>
      <t xml:space="preserve">and D22 had the formula </t>
    </r>
    <r>
      <rPr>
        <b/>
        <sz val="11"/>
        <rFont val="Calibri"/>
        <family val="2"/>
        <scheme val="minor"/>
      </rPr>
      <t>=B10*B22/1000/2000</t>
    </r>
    <r>
      <rPr>
        <sz val="11"/>
        <rFont val="Calibri"/>
        <family val="2"/>
        <scheme val="minor"/>
      </rPr>
      <t xml:space="preserve">. Formula in D22 has been deleted, and C22 has been revised to </t>
    </r>
    <r>
      <rPr>
        <b/>
        <sz val="11"/>
        <rFont val="Calibri"/>
        <family val="2"/>
        <scheme val="minor"/>
      </rPr>
      <t>=IF($B$10&lt;10000,$B$10/1000*$B$22/2000,0)</t>
    </r>
    <r>
      <rPr>
        <sz val="11"/>
        <rFont val="Calibri"/>
        <family val="2"/>
        <scheme val="minor"/>
      </rPr>
      <t>.
(8) Updated "date" on all tabs and added "Version 2.0"
(9) Added Revisions sheet to track version changes.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</si>
</sst>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00"/>
    <numFmt numFmtId="166" formatCode="0.0"/>
    <numFmt numFmtId="167" formatCode="0.00000"/>
    <numFmt numFmtId="168" formatCode="0.0%"/>
    <numFmt numFmtId="169" formatCode="0.00000000000"/>
  </numFmts>
  <fonts count="24">
    <font>
      <sz val="10"/>
      <name val="Arial"/>
    </font>
    <font>
      <sz val="10"/>
      <name val="Arial"/>
    </font>
    <font>
      <b/>
      <sz val="10"/>
      <name val="Arial"/>
      <family val="2"/>
    </font>
    <font>
      <sz val="8"/>
      <name val="Arial"/>
      <family val="2"/>
    </font>
    <font>
      <sz val="10"/>
      <name val="Arial"/>
      <family val="2"/>
    </font>
    <font>
      <sz val="10"/>
      <color indexed="20"/>
      <name val="Arial"/>
      <family val="2"/>
    </font>
    <font>
      <b/>
      <u/>
      <sz val="10"/>
      <name val="Arial"/>
      <family val="2"/>
    </font>
    <font>
      <b/>
      <sz val="16"/>
      <name val="Arial"/>
      <family val="2"/>
    </font>
    <font>
      <b/>
      <sz val="9"/>
      <name val="Arial"/>
      <family val="2"/>
    </font>
    <font>
      <sz val="9"/>
      <name val="Arial"/>
      <family val="2"/>
    </font>
    <font>
      <sz val="9"/>
      <name val="Arial MT"/>
      <family val="2"/>
    </font>
    <font>
      <sz val="10"/>
      <name val="Arial MT"/>
      <family val="2"/>
    </font>
    <font>
      <vertAlign val="superscript"/>
      <sz val="10"/>
      <name val="Arial"/>
      <family val="2"/>
    </font>
    <font>
      <b/>
      <sz val="10"/>
      <color indexed="10"/>
      <name val="Arial"/>
      <family val="2"/>
    </font>
    <font>
      <sz val="10"/>
      <color rgb="FFFF0000"/>
      <name val="Arial"/>
      <family val="2"/>
    </font>
    <font>
      <sz val="10"/>
      <color rgb="FF7030A0"/>
      <name val="Arial"/>
      <family val="2"/>
    </font>
    <font>
      <sz val="10"/>
      <color rgb="FF0070C0"/>
      <name val="Arial"/>
      <family val="2"/>
    </font>
    <font>
      <b/>
      <sz val="10"/>
      <color rgb="FFFF0000"/>
      <name val="Arial"/>
      <family val="2"/>
    </font>
    <font>
      <b/>
      <sz val="10"/>
      <name val="Arial MT"/>
    </font>
    <font>
      <sz val="12"/>
      <name val="Times New Roman"/>
      <family val="1"/>
    </font>
    <font>
      <b/>
      <sz val="12"/>
      <name val="Times New Roman"/>
      <family val="1"/>
    </font>
    <font>
      <b/>
      <vertAlign val="superscript"/>
      <sz val="10"/>
      <name val="Arial"/>
      <family val="2"/>
    </font>
    <font>
      <b/>
      <sz val="1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5DD5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2" fillId="0" borderId="0" xfId="0" applyFont="1"/>
    <xf numFmtId="0" fontId="4" fillId="0" borderId="0" xfId="0" applyFont="1"/>
    <xf numFmtId="0" fontId="0" fillId="0" borderId="0" xfId="0" applyBorder="1"/>
    <xf numFmtId="0" fontId="6" fillId="0" borderId="0" xfId="0" applyFont="1"/>
    <xf numFmtId="0" fontId="4" fillId="0" borderId="0" xfId="0" applyFont="1" applyBorder="1"/>
    <xf numFmtId="0" fontId="7" fillId="0" borderId="0" xfId="0" applyFont="1" applyAlignment="1"/>
    <xf numFmtId="14" fontId="0" fillId="0" borderId="0" xfId="0" applyNumberFormat="1" applyAlignment="1"/>
    <xf numFmtId="0" fontId="8" fillId="0" borderId="0" xfId="0" applyFont="1"/>
    <xf numFmtId="0" fontId="9" fillId="0" borderId="0" xfId="0" applyFont="1"/>
    <xf numFmtId="0" fontId="3" fillId="0" borderId="0" xfId="0" applyFont="1"/>
    <xf numFmtId="167" fontId="9" fillId="0" borderId="0" xfId="0" applyNumberFormat="1" applyFont="1" applyAlignment="1"/>
    <xf numFmtId="165" fontId="9" fillId="0" borderId="0" xfId="0" applyNumberFormat="1" applyFont="1" applyAlignment="1"/>
    <xf numFmtId="2" fontId="9" fillId="0" borderId="0" xfId="0" applyNumberFormat="1" applyFont="1" applyAlignment="1"/>
    <xf numFmtId="0" fontId="9" fillId="0" borderId="0" xfId="0" applyNumberFormat="1" applyFont="1" applyAlignment="1"/>
    <xf numFmtId="0" fontId="10" fillId="0" borderId="0" xfId="0" applyNumberFormat="1" applyFont="1" applyAlignment="1"/>
    <xf numFmtId="0" fontId="11" fillId="0" borderId="0" xfId="0" applyNumberFormat="1" applyFont="1" applyAlignment="1"/>
    <xf numFmtId="2" fontId="4" fillId="0" borderId="0" xfId="0" applyNumberFormat="1" applyFont="1" applyBorder="1" applyAlignment="1">
      <alignment horizontal="center" vertical="center" wrapText="1"/>
    </xf>
    <xf numFmtId="166" fontId="4"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9" fontId="4" fillId="0" borderId="0" xfId="0" applyNumberFormat="1" applyFont="1" applyBorder="1" applyAlignment="1">
      <alignment horizontal="center" vertical="center" wrapText="1"/>
    </xf>
    <xf numFmtId="2" fontId="4" fillId="0" borderId="0" xfId="0" applyNumberFormat="1" applyFont="1" applyFill="1" applyBorder="1" applyAlignment="1">
      <alignment horizontal="center"/>
    </xf>
    <xf numFmtId="0" fontId="4" fillId="0" borderId="0" xfId="0" applyFont="1" applyBorder="1" applyAlignment="1">
      <alignment horizontal="right"/>
    </xf>
    <xf numFmtId="0"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applyAlignment="1">
      <alignment horizontal="left"/>
    </xf>
    <xf numFmtId="168" fontId="15" fillId="0" borderId="0" xfId="0" applyNumberFormat="1" applyFont="1" applyBorder="1" applyAlignment="1">
      <alignment horizontal="center" vertical="center" wrapText="1"/>
    </xf>
    <xf numFmtId="165" fontId="16" fillId="0" borderId="0" xfId="0" applyNumberFormat="1" applyFont="1" applyBorder="1" applyAlignment="1">
      <alignment horizontal="center" vertical="center" wrapText="1"/>
    </xf>
    <xf numFmtId="164" fontId="16" fillId="0" borderId="0" xfId="0" applyNumberFormat="1" applyFont="1" applyBorder="1" applyAlignment="1">
      <alignment horizontal="center" vertical="center" wrapText="1"/>
    </xf>
    <xf numFmtId="2" fontId="2" fillId="0" borderId="0" xfId="0" applyNumberFormat="1" applyFont="1" applyBorder="1" applyAlignment="1">
      <alignment horizontal="left" vertical="center"/>
    </xf>
    <xf numFmtId="0" fontId="0" fillId="0" borderId="0" xfId="0" applyNumberFormat="1" applyAlignment="1">
      <alignment vertical="top" wrapText="1"/>
    </xf>
    <xf numFmtId="0" fontId="4" fillId="0" borderId="0" xfId="0" applyNumberFormat="1" applyFont="1" applyAlignment="1">
      <alignment vertical="top"/>
    </xf>
    <xf numFmtId="14" fontId="14" fillId="0" borderId="0" xfId="0" applyNumberFormat="1" applyFont="1" applyAlignment="1">
      <alignment vertical="top" wrapText="1"/>
    </xf>
    <xf numFmtId="0" fontId="0" fillId="0" borderId="0" xfId="0" applyFill="1"/>
    <xf numFmtId="168" fontId="13" fillId="0" borderId="0" xfId="1" applyNumberFormat="1" applyFont="1" applyBorder="1" applyAlignment="1">
      <alignment horizontal="center"/>
    </xf>
    <xf numFmtId="0" fontId="8" fillId="0" borderId="0" xfId="0" applyNumberFormat="1" applyFont="1" applyAlignment="1">
      <alignment horizontal="left" vertical="top"/>
    </xf>
    <xf numFmtId="0" fontId="4" fillId="0" borderId="0" xfId="0" applyFont="1" applyFill="1" applyBorder="1" applyAlignment="1">
      <alignment horizontal="center" vertical="center" wrapText="1"/>
    </xf>
    <xf numFmtId="0" fontId="17" fillId="0" borderId="0" xfId="0" applyFont="1"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168" fontId="2" fillId="0" borderId="1" xfId="0" applyNumberFormat="1" applyFont="1" applyBorder="1" applyAlignment="1">
      <alignment horizontal="center" vertical="center" wrapText="1"/>
    </xf>
    <xf numFmtId="169" fontId="4" fillId="0" borderId="0" xfId="0" applyNumberFormat="1" applyFont="1" applyFill="1" applyBorder="1" applyAlignment="1">
      <alignment horizontal="center"/>
    </xf>
    <xf numFmtId="0" fontId="0" fillId="0" borderId="0" xfId="0" applyAlignment="1">
      <alignment vertical="top" wrapText="1"/>
    </xf>
    <xf numFmtId="0" fontId="4" fillId="0" borderId="0" xfId="0" applyFont="1" applyAlignment="1">
      <alignment vertical="top" wrapText="1"/>
    </xf>
    <xf numFmtId="14" fontId="14" fillId="0" borderId="0" xfId="0" applyNumberFormat="1" applyFont="1" applyAlignment="1">
      <alignment horizontal="center" vertical="center" wrapText="1"/>
    </xf>
    <xf numFmtId="0" fontId="2" fillId="0" borderId="0" xfId="0" applyFont="1" applyBorder="1"/>
    <xf numFmtId="1" fontId="5" fillId="0" borderId="0" xfId="0" applyNumberFormat="1" applyFont="1" applyBorder="1"/>
    <xf numFmtId="0" fontId="2" fillId="0" borderId="1" xfId="0" applyFont="1" applyBorder="1" applyAlignment="1">
      <alignment horizontal="center" vertical="center"/>
    </xf>
    <xf numFmtId="0" fontId="4" fillId="0" borderId="1" xfId="0" applyFont="1" applyBorder="1"/>
    <xf numFmtId="0" fontId="0" fillId="0" borderId="1" xfId="0" applyBorder="1" applyAlignment="1">
      <alignment horizontal="center" vertical="center"/>
    </xf>
    <xf numFmtId="165" fontId="2" fillId="0" borderId="1" xfId="0" applyNumberFormat="1" applyFont="1" applyBorder="1" applyAlignment="1">
      <alignment horizontal="center" vertical="center" wrapText="1"/>
    </xf>
    <xf numFmtId="0" fontId="18" fillId="0" borderId="0" xfId="0" applyNumberFormat="1" applyFont="1" applyAlignment="1"/>
    <xf numFmtId="0" fontId="11" fillId="0" borderId="0" xfId="0" applyNumberFormat="1" applyFont="1" applyAlignment="1">
      <alignment horizontal="left" vertical="top"/>
    </xf>
    <xf numFmtId="14" fontId="17" fillId="0" borderId="0" xfId="0" applyNumberFormat="1" applyFont="1" applyAlignment="1">
      <alignment horizontal="center" vertical="center" wrapText="1"/>
    </xf>
    <xf numFmtId="0" fontId="18" fillId="0" borderId="0" xfId="0" applyNumberFormat="1" applyFont="1" applyAlignment="1">
      <alignment horizontal="left" vertical="top"/>
    </xf>
    <xf numFmtId="3"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165" fontId="2" fillId="3" borderId="1" xfId="0" applyNumberFormat="1" applyFont="1" applyFill="1" applyBorder="1" applyAlignment="1">
      <alignment horizontal="center" vertical="center" wrapText="1"/>
    </xf>
    <xf numFmtId="0" fontId="20" fillId="0" borderId="4" xfId="0" applyFont="1" applyBorder="1" applyAlignment="1">
      <alignment horizontal="left" vertical="top" wrapText="1" indent="1"/>
    </xf>
    <xf numFmtId="0" fontId="20" fillId="0" borderId="5" xfId="0" applyFont="1" applyBorder="1" applyAlignment="1">
      <alignment horizontal="left" vertical="top" wrapText="1" indent="1"/>
    </xf>
    <xf numFmtId="0" fontId="0" fillId="0" borderId="6" xfId="0" applyBorder="1" applyAlignment="1">
      <alignment vertical="top" wrapText="1"/>
    </xf>
    <xf numFmtId="0" fontId="19" fillId="0" borderId="4" xfId="0" applyFont="1" applyBorder="1" applyAlignment="1">
      <alignment horizontal="left" vertical="top" wrapText="1" indent="1"/>
    </xf>
    <xf numFmtId="0" fontId="2" fillId="2" borderId="1" xfId="0" applyFont="1" applyFill="1" applyBorder="1" applyAlignment="1">
      <alignment horizontal="center"/>
    </xf>
    <xf numFmtId="0" fontId="4" fillId="0" borderId="0" xfId="0" applyFont="1" applyFill="1" applyAlignment="1">
      <alignment horizontal="left" vertical="top" wrapText="1"/>
    </xf>
    <xf numFmtId="0" fontId="0" fillId="0" borderId="0" xfId="0" applyFill="1" applyAlignment="1">
      <alignment horizontal="left" vertical="top" wrapText="1"/>
    </xf>
    <xf numFmtId="0" fontId="0" fillId="0" borderId="3" xfId="0" applyBorder="1"/>
    <xf numFmtId="0" fontId="2" fillId="0" borderId="1" xfId="0" applyFont="1" applyBorder="1" applyAlignment="1">
      <alignment horizontal="left" vertical="center"/>
    </xf>
    <xf numFmtId="0" fontId="2" fillId="0" borderId="1" xfId="0" applyFont="1" applyBorder="1"/>
    <xf numFmtId="0" fontId="4" fillId="0" borderId="0" xfId="0" applyFont="1" applyFill="1" applyAlignment="1">
      <alignment horizontal="left" vertical="top" wrapText="1"/>
    </xf>
    <xf numFmtId="0" fontId="4" fillId="0" borderId="0" xfId="0" applyFont="1" applyFill="1" applyAlignment="1">
      <alignment horizontal="left" vertical="top" wrapText="1"/>
    </xf>
    <xf numFmtId="1" fontId="0" fillId="0" borderId="2" xfId="0" applyNumberFormat="1" applyBorder="1"/>
    <xf numFmtId="0" fontId="2" fillId="0" borderId="7" xfId="0" applyFont="1" applyBorder="1" applyAlignment="1">
      <alignment vertical="top"/>
    </xf>
    <xf numFmtId="0" fontId="2" fillId="0" borderId="9" xfId="0" applyFont="1" applyBorder="1" applyAlignment="1">
      <alignment vertical="top" wrapText="1"/>
    </xf>
    <xf numFmtId="1" fontId="0" fillId="0" borderId="10" xfId="0" applyNumberFormat="1" applyBorder="1"/>
    <xf numFmtId="0" fontId="0" fillId="0" borderId="11" xfId="0" applyBorder="1"/>
    <xf numFmtId="0" fontId="0" fillId="0" borderId="12" xfId="0" applyBorder="1"/>
    <xf numFmtId="0" fontId="0" fillId="0" borderId="13" xfId="0" applyBorder="1"/>
    <xf numFmtId="0" fontId="2" fillId="0" borderId="2" xfId="0" applyFont="1" applyBorder="1" applyAlignment="1"/>
    <xf numFmtId="0" fontId="2" fillId="0" borderId="3" xfId="0" applyFont="1" applyBorder="1" applyAlignment="1"/>
    <xf numFmtId="3" fontId="2" fillId="0" borderId="1" xfId="0" applyNumberFormat="1" applyFont="1" applyBorder="1"/>
    <xf numFmtId="0" fontId="2" fillId="0" borderId="8" xfId="0" applyFont="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1" fontId="0" fillId="0" borderId="1" xfId="0" applyNumberFormat="1" applyBorder="1" applyAlignment="1">
      <alignment horizontal="center" vertical="center"/>
    </xf>
    <xf numFmtId="0" fontId="4" fillId="0" borderId="1" xfId="0" applyFont="1" applyBorder="1" applyAlignment="1">
      <alignment vertical="center"/>
    </xf>
    <xf numFmtId="165" fontId="4" fillId="0" borderId="1" xfId="0" applyNumberFormat="1" applyFont="1" applyBorder="1" applyAlignment="1">
      <alignment horizontal="center" vertical="center"/>
    </xf>
    <xf numFmtId="165" fontId="11" fillId="0" borderId="0" xfId="0" applyNumberFormat="1" applyFont="1" applyAlignment="1" applyProtection="1">
      <protection locked="0" hidden="1"/>
    </xf>
    <xf numFmtId="0" fontId="2" fillId="0" borderId="0" xfId="0" applyNumberFormat="1" applyFont="1" applyAlignment="1">
      <alignment horizontal="left" vertical="top"/>
    </xf>
    <xf numFmtId="0" fontId="2" fillId="0" borderId="1" xfId="0" applyFont="1" applyBorder="1" applyAlignment="1">
      <alignment horizontal="left"/>
    </xf>
    <xf numFmtId="14" fontId="0" fillId="0" borderId="0" xfId="0" applyNumberFormat="1" applyAlignment="1">
      <alignment horizontal="center"/>
    </xf>
    <xf numFmtId="0" fontId="7" fillId="0" borderId="0" xfId="0" applyFont="1" applyAlignment="1">
      <alignment horizontal="center"/>
    </xf>
    <xf numFmtId="0" fontId="4" fillId="0" borderId="0" xfId="0" applyFont="1" applyAlignment="1">
      <alignment horizontal="left" vertical="top" wrapText="1"/>
    </xf>
    <xf numFmtId="0" fontId="2" fillId="0" borderId="0" xfId="0" applyFont="1" applyFill="1" applyAlignment="1">
      <alignment horizontal="left" vertical="top" wrapText="1"/>
    </xf>
    <xf numFmtId="0" fontId="2" fillId="0" borderId="14" xfId="0" applyFont="1" applyFill="1" applyBorder="1" applyAlignment="1">
      <alignment horizontal="left" vertical="top" wrapText="1"/>
    </xf>
    <xf numFmtId="0" fontId="4" fillId="0" borderId="0" xfId="0" applyFont="1" applyFill="1" applyAlignment="1">
      <alignment horizontal="left" vertical="top" wrapText="1"/>
    </xf>
    <xf numFmtId="0" fontId="0" fillId="0" borderId="0" xfId="0" applyFill="1" applyAlignment="1">
      <alignment horizontal="left" vertical="top" wrapText="1"/>
    </xf>
    <xf numFmtId="14" fontId="2" fillId="0" borderId="0" xfId="0" applyNumberFormat="1" applyFont="1" applyAlignment="1">
      <alignment horizontal="center" vertical="center" wrapText="1"/>
    </xf>
    <xf numFmtId="2" fontId="2" fillId="0" borderId="0" xfId="0" applyNumberFormat="1" applyFont="1" applyBorder="1" applyAlignment="1">
      <alignment horizontal="center" vertical="center"/>
    </xf>
    <xf numFmtId="0" fontId="4" fillId="0" borderId="2" xfId="0" applyFont="1" applyBorder="1" applyAlignment="1">
      <alignment horizontal="left"/>
    </xf>
    <xf numFmtId="0" fontId="4" fillId="0" borderId="3" xfId="0" applyFont="1" applyBorder="1" applyAlignment="1">
      <alignment horizontal="left"/>
    </xf>
    <xf numFmtId="2" fontId="2" fillId="0" borderId="2" xfId="0" applyNumberFormat="1" applyFont="1" applyBorder="1" applyAlignment="1">
      <alignment vertical="top" wrapText="1"/>
    </xf>
    <xf numFmtId="2" fontId="2" fillId="0" borderId="3" xfId="0" applyNumberFormat="1"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2" fontId="2" fillId="0" borderId="1" xfId="0" applyNumberFormat="1" applyFont="1" applyBorder="1" applyAlignment="1">
      <alignment horizontal="center" vertical="center"/>
    </xf>
    <xf numFmtId="0" fontId="11" fillId="0" borderId="0" xfId="0" applyNumberFormat="1" applyFont="1" applyAlignment="1">
      <alignment horizontal="left" vertical="top"/>
    </xf>
    <xf numFmtId="0" fontId="4" fillId="0" borderId="10" xfId="0" applyFont="1" applyBorder="1" applyAlignment="1">
      <alignment horizontal="left"/>
    </xf>
    <xf numFmtId="0" fontId="4" fillId="0" borderId="11" xfId="0" applyFont="1" applyBorder="1" applyAlignment="1">
      <alignment horizontal="left"/>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14" fontId="4" fillId="0" borderId="0" xfId="0" applyNumberFormat="1" applyFont="1" applyAlignment="1">
      <alignment horizontal="left" vertical="top" wrapText="1"/>
    </xf>
    <xf numFmtId="0" fontId="0" fillId="0" borderId="0" xfId="0" applyAlignment="1"/>
    <xf numFmtId="0" fontId="4" fillId="0" borderId="0" xfId="0" applyNumberFormat="1" applyFont="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168" fontId="2" fillId="0" borderId="2" xfId="0" applyNumberFormat="1" applyFont="1" applyBorder="1" applyAlignment="1">
      <alignment horizontal="center" vertical="center" wrapText="1"/>
    </xf>
    <xf numFmtId="168" fontId="2" fillId="0" borderId="3" xfId="0" applyNumberFormat="1" applyFont="1" applyBorder="1" applyAlignment="1">
      <alignment horizontal="center" vertical="center" wrapText="1"/>
    </xf>
    <xf numFmtId="0" fontId="22" fillId="0" borderId="0" xfId="0" applyFont="1" applyAlignment="1">
      <alignment vertical="top"/>
    </xf>
    <xf numFmtId="0" fontId="22" fillId="0" borderId="0" xfId="0" applyFont="1"/>
    <xf numFmtId="0" fontId="23" fillId="0" borderId="0" xfId="0" applyFont="1" applyAlignment="1">
      <alignment vertical="top"/>
    </xf>
    <xf numFmtId="14" fontId="23" fillId="0" borderId="0" xfId="0" applyNumberFormat="1" applyFont="1" applyAlignment="1">
      <alignment vertical="top"/>
    </xf>
    <xf numFmtId="0" fontId="23" fillId="0" borderId="0" xfId="0" applyFont="1"/>
    <xf numFmtId="0" fontId="2" fillId="0" borderId="0" xfId="0" applyFont="1" applyFill="1" applyAlignment="1">
      <alignment horizontal="left" vertical="top"/>
    </xf>
    <xf numFmtId="0" fontId="2" fillId="0" borderId="14" xfId="0" applyFont="1" applyFill="1" applyBorder="1" applyAlignment="1">
      <alignment horizontal="left" vertical="top"/>
    </xf>
    <xf numFmtId="0" fontId="2" fillId="0" borderId="0" xfId="0" applyFont="1"/>
    <xf numFmtId="0" fontId="2" fillId="0" borderId="14" xfId="0" applyFont="1" applyBorder="1"/>
    <xf numFmtId="0" fontId="2" fillId="0" borderId="0" xfId="0" applyFont="1" applyAlignment="1">
      <alignment horizontal="left" vertical="top"/>
    </xf>
    <xf numFmtId="0" fontId="2" fillId="0" borderId="14" xfId="0" applyFont="1" applyBorder="1" applyAlignment="1">
      <alignment horizontal="left" vertical="top"/>
    </xf>
    <xf numFmtId="0" fontId="2" fillId="2" borderId="0" xfId="0" applyFont="1" applyFill="1" applyAlignment="1">
      <alignment vertical="top" wrapText="1"/>
    </xf>
    <xf numFmtId="1" fontId="0" fillId="2" borderId="1" xfId="0" applyNumberFormat="1" applyFill="1" applyBorder="1" applyAlignment="1">
      <alignment horizontal="center" vertical="center" wrapText="1"/>
    </xf>
    <xf numFmtId="0" fontId="4" fillId="2" borderId="1" xfId="0" applyFont="1" applyFill="1" applyBorder="1" applyAlignment="1">
      <alignment horizontal="center" vertical="top" wrapText="1"/>
    </xf>
    <xf numFmtId="1" fontId="0" fillId="2" borderId="1" xfId="0" applyNumberFormat="1" applyFill="1" applyBorder="1" applyAlignment="1">
      <alignment horizontal="center" vertical="top" wrapText="1"/>
    </xf>
    <xf numFmtId="0" fontId="4" fillId="2" borderId="1" xfId="0" applyFont="1" applyFill="1" applyBorder="1"/>
    <xf numFmtId="0" fontId="23" fillId="0" borderId="0" xfId="0" applyFont="1" applyAlignment="1">
      <alignment horizontal="left" vertical="top" wrapText="1"/>
    </xf>
    <xf numFmtId="0" fontId="23" fillId="0" borderId="0" xfId="0" applyFont="1" applyAlignment="1">
      <alignment vertical="top"/>
    </xf>
    <xf numFmtId="14" fontId="23" fillId="0" borderId="0" xfId="0" applyNumberFormat="1" applyFont="1" applyAlignment="1">
      <alignment vertical="top"/>
    </xf>
    <xf numFmtId="0" fontId="23" fillId="0" borderId="0" xfId="0" applyFont="1" applyAlignment="1">
      <alignment vertical="top" wrapText="1"/>
    </xf>
    <xf numFmtId="0" fontId="4" fillId="0" borderId="0" xfId="0" applyFont="1" applyAlignment="1">
      <alignment vertical="center" wrapText="1"/>
    </xf>
  </cellXfs>
  <cellStyles count="2">
    <cellStyle name="Normal" xfId="0" builtinId="0"/>
    <cellStyle name="Percent" xfId="1" builtinId="5"/>
  </cellStyles>
  <dxfs count="0"/>
  <tableStyles count="0" defaultTableStyle="TableStyleMedium9" defaultPivotStyle="PivotStyleLight16"/>
  <colors>
    <mruColors>
      <color rgb="FF0000FF"/>
      <color rgb="FF5D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Q33"/>
  <sheetViews>
    <sheetView zoomScaleNormal="100" workbookViewId="0">
      <selection activeCell="E24" sqref="E24"/>
    </sheetView>
    <sheetView topLeftCell="A3" workbookViewId="1">
      <selection activeCell="C22" sqref="C22"/>
    </sheetView>
  </sheetViews>
  <sheetFormatPr defaultRowHeight="12.5"/>
  <cols>
    <col min="1" max="1" width="1.6328125" customWidth="1"/>
    <col min="2" max="2" width="35.6328125" customWidth="1"/>
    <col min="3" max="3" width="16.08984375" customWidth="1"/>
    <col min="4" max="4" width="27.54296875" customWidth="1"/>
    <col min="5" max="5" width="25.36328125" customWidth="1"/>
    <col min="6" max="6" width="13.08984375" customWidth="1"/>
  </cols>
  <sheetData>
    <row r="1" spans="1:12" ht="20">
      <c r="A1" s="93" t="s">
        <v>78</v>
      </c>
      <c r="B1" s="93"/>
      <c r="C1" s="93"/>
      <c r="D1" s="93"/>
      <c r="E1" s="93"/>
      <c r="F1" s="6"/>
      <c r="G1" s="6"/>
      <c r="H1" s="6"/>
      <c r="I1" s="6"/>
      <c r="J1" s="6"/>
      <c r="K1" s="6"/>
    </row>
    <row r="2" spans="1:12">
      <c r="A2" s="92" t="s">
        <v>83</v>
      </c>
      <c r="B2" s="92"/>
      <c r="C2" s="92"/>
      <c r="D2" s="92"/>
      <c r="E2" s="92"/>
      <c r="F2" s="7"/>
      <c r="G2" s="7"/>
      <c r="H2" s="7"/>
      <c r="I2" s="7"/>
      <c r="J2" s="7"/>
      <c r="K2" s="7"/>
    </row>
    <row r="3" spans="1:12" ht="54" customHeight="1">
      <c r="A3" s="46"/>
      <c r="B3" s="94" t="s">
        <v>70</v>
      </c>
      <c r="C3" s="94"/>
      <c r="D3" s="94"/>
      <c r="E3" s="94"/>
      <c r="F3" s="46"/>
      <c r="G3" s="46"/>
      <c r="H3" s="46"/>
      <c r="I3" s="46"/>
      <c r="J3" s="46"/>
      <c r="K3" s="46"/>
    </row>
    <row r="5" spans="1:12" ht="41.5" customHeight="1">
      <c r="B5" s="131" t="s">
        <v>91</v>
      </c>
      <c r="C5" s="131"/>
      <c r="D5" s="131"/>
      <c r="E5" s="131"/>
      <c r="F5" s="45"/>
      <c r="G5" s="45"/>
      <c r="H5" s="45"/>
      <c r="I5" s="45"/>
      <c r="J5" s="45"/>
      <c r="K5" s="45"/>
    </row>
    <row r="7" spans="1:12" ht="12.75" customHeight="1">
      <c r="B7" s="34" t="s">
        <v>9</v>
      </c>
      <c r="C7" s="33"/>
      <c r="D7" s="33"/>
      <c r="E7" s="33"/>
      <c r="F7" s="33"/>
      <c r="G7" s="33"/>
      <c r="H7" s="33"/>
      <c r="I7" s="33"/>
      <c r="J7" s="33"/>
      <c r="K7" s="33"/>
    </row>
    <row r="8" spans="1:12">
      <c r="B8" s="33"/>
      <c r="C8" s="33"/>
      <c r="D8" s="33"/>
      <c r="E8" s="33"/>
      <c r="F8" s="33"/>
      <c r="G8" s="33"/>
      <c r="H8" s="33"/>
      <c r="I8" s="33"/>
      <c r="J8" s="33"/>
      <c r="K8" s="33"/>
    </row>
    <row r="9" spans="1:12" ht="13">
      <c r="B9" s="1" t="s">
        <v>15</v>
      </c>
    </row>
    <row r="11" spans="1:12" ht="18" customHeight="1">
      <c r="B11" s="129" t="s">
        <v>40</v>
      </c>
      <c r="C11" s="129"/>
      <c r="D11" s="130"/>
      <c r="E11" s="59">
        <v>12</v>
      </c>
    </row>
    <row r="12" spans="1:12" ht="27.75" customHeight="1">
      <c r="B12" s="97" t="s">
        <v>16</v>
      </c>
      <c r="C12" s="98"/>
      <c r="D12" s="98"/>
      <c r="E12" s="98"/>
      <c r="F12" s="36"/>
      <c r="G12" s="36"/>
      <c r="H12" s="36"/>
      <c r="I12" s="36"/>
      <c r="J12" s="36"/>
      <c r="K12" s="36"/>
      <c r="L12" s="36"/>
    </row>
    <row r="13" spans="1:12" ht="12.75" customHeight="1">
      <c r="B13" s="66"/>
      <c r="C13" s="67"/>
      <c r="D13" s="67"/>
      <c r="E13" s="67"/>
      <c r="F13" s="36"/>
      <c r="G13" s="36"/>
      <c r="H13" s="36"/>
      <c r="I13" s="36"/>
      <c r="J13" s="36"/>
      <c r="K13" s="36"/>
      <c r="L13" s="36"/>
    </row>
    <row r="14" spans="1:12" ht="13">
      <c r="B14" s="95" t="s">
        <v>55</v>
      </c>
      <c r="C14" s="95"/>
      <c r="D14" s="96"/>
      <c r="E14" s="132">
        <v>0</v>
      </c>
      <c r="F14" s="36"/>
      <c r="G14" s="36"/>
      <c r="H14" s="36"/>
      <c r="I14" s="36"/>
      <c r="J14" s="36"/>
      <c r="K14" s="36"/>
      <c r="L14" s="36"/>
    </row>
    <row r="15" spans="1:12" ht="60" customHeight="1">
      <c r="B15" s="97" t="s">
        <v>54</v>
      </c>
      <c r="C15" s="97"/>
      <c r="D15" s="97"/>
      <c r="E15" s="97"/>
      <c r="F15" s="36"/>
      <c r="G15" s="36"/>
      <c r="H15" s="36"/>
      <c r="I15" s="36"/>
      <c r="J15" s="36"/>
      <c r="K15" s="36"/>
      <c r="L15" s="36"/>
    </row>
    <row r="16" spans="1:12" ht="30" customHeight="1">
      <c r="B16" s="95" t="s">
        <v>90</v>
      </c>
      <c r="C16" s="95"/>
      <c r="D16" s="96"/>
      <c r="E16" s="133">
        <v>0</v>
      </c>
      <c r="F16" s="36"/>
      <c r="G16" s="36"/>
      <c r="H16" s="36"/>
      <c r="I16" s="36"/>
      <c r="J16" s="36"/>
      <c r="K16" s="36"/>
      <c r="L16" s="36"/>
    </row>
    <row r="17" spans="2:17" ht="45" customHeight="1">
      <c r="B17" s="97" t="s">
        <v>43</v>
      </c>
      <c r="C17" s="97"/>
      <c r="D17" s="97"/>
      <c r="E17" s="71"/>
      <c r="F17" s="36"/>
      <c r="G17" s="36"/>
      <c r="H17" s="36"/>
      <c r="I17" s="36"/>
      <c r="J17" s="36"/>
      <c r="K17" s="36"/>
      <c r="L17" s="36"/>
    </row>
    <row r="18" spans="2:17" ht="15.75" customHeight="1">
      <c r="B18" s="125" t="s">
        <v>41</v>
      </c>
      <c r="C18" s="125"/>
      <c r="D18" s="126"/>
      <c r="E18" s="134">
        <v>0</v>
      </c>
      <c r="F18" s="36"/>
      <c r="G18" s="36"/>
      <c r="H18" s="36"/>
      <c r="I18" s="36"/>
      <c r="J18" s="36"/>
      <c r="K18" s="36"/>
      <c r="L18" s="36"/>
    </row>
    <row r="19" spans="2:17" ht="42" customHeight="1">
      <c r="B19" s="97" t="s">
        <v>42</v>
      </c>
      <c r="C19" s="97"/>
      <c r="D19" s="97"/>
      <c r="E19" s="97"/>
      <c r="F19" s="72"/>
      <c r="G19" s="72"/>
      <c r="H19" s="72"/>
      <c r="I19" s="72"/>
      <c r="J19" s="72"/>
      <c r="K19" s="72"/>
      <c r="L19" s="72"/>
      <c r="M19" s="72"/>
      <c r="N19" s="72"/>
      <c r="O19" s="72"/>
      <c r="P19" s="2"/>
      <c r="Q19" s="2"/>
    </row>
    <row r="20" spans="2:17" ht="13">
      <c r="B20" s="1" t="s">
        <v>92</v>
      </c>
      <c r="E20" s="135" t="s">
        <v>13</v>
      </c>
    </row>
    <row r="21" spans="2:17" ht="28.5" customHeight="1">
      <c r="B21" s="140" t="s">
        <v>93</v>
      </c>
      <c r="C21" s="140"/>
      <c r="D21" s="140"/>
      <c r="E21" s="140"/>
    </row>
    <row r="22" spans="2:17">
      <c r="B22" s="2"/>
    </row>
    <row r="23" spans="2:17" ht="13">
      <c r="B23" s="127" t="s">
        <v>36</v>
      </c>
      <c r="C23" s="127"/>
      <c r="D23" s="128"/>
      <c r="E23" s="65">
        <v>2024</v>
      </c>
    </row>
    <row r="24" spans="2:17">
      <c r="B24" s="2" t="s">
        <v>37</v>
      </c>
    </row>
    <row r="28" spans="2:17" ht="13">
      <c r="B28" s="39"/>
      <c r="C28" s="40"/>
      <c r="D28" s="41"/>
    </row>
    <row r="29" spans="2:17">
      <c r="C29" s="41"/>
      <c r="D29" s="41"/>
    </row>
    <row r="30" spans="2:17" ht="13">
      <c r="B30" s="39"/>
      <c r="C30" s="40"/>
      <c r="D30" s="41"/>
    </row>
    <row r="32" spans="2:17" hidden="1">
      <c r="B32" s="2" t="s">
        <v>12</v>
      </c>
    </row>
    <row r="33" spans="2:2" hidden="1">
      <c r="B33" s="2" t="s">
        <v>13</v>
      </c>
    </row>
  </sheetData>
  <mergeCells count="14">
    <mergeCell ref="B23:D23"/>
    <mergeCell ref="B18:D18"/>
    <mergeCell ref="B11:D11"/>
    <mergeCell ref="B5:E5"/>
    <mergeCell ref="B21:E21"/>
    <mergeCell ref="A2:E2"/>
    <mergeCell ref="A1:E1"/>
    <mergeCell ref="B3:E3"/>
    <mergeCell ref="B14:D14"/>
    <mergeCell ref="B19:E19"/>
    <mergeCell ref="B17:D17"/>
    <mergeCell ref="B15:E15"/>
    <mergeCell ref="B12:E12"/>
    <mergeCell ref="B16:D16"/>
  </mergeCells>
  <phoneticPr fontId="3" type="noConversion"/>
  <dataValidations count="1">
    <dataValidation type="list" allowBlank="1" showInputMessage="1" showErrorMessage="1" sqref="E20" xr:uid="{FDEA62AA-97E6-48BD-8307-5593C8103076}">
      <formula1>"Attainment, Nonattainment"</formula1>
    </dataValidation>
  </dataValidations>
  <pageMargins left="0.75" right="0.75" top="1" bottom="1" header="0.5" footer="0.5"/>
  <pageSetup scale="61" orientation="portrait" r:id="rId1"/>
  <headerFooter alignWithMargins="0">
    <oddHeader>&amp;RInputs - &amp;D</oddHeader>
  </headerFooter>
  <colBreaks count="1" manualBreakCount="1">
    <brk id="12" max="1048575" man="1"/>
  </colBreaks>
  <customProperties>
    <customPr name="DVSECTION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0000FF"/>
  </sheetPr>
  <dimension ref="A1:M12"/>
  <sheetViews>
    <sheetView zoomScaleNormal="100" workbookViewId="0">
      <selection activeCell="C4" sqref="C4"/>
    </sheetView>
    <sheetView workbookViewId="1">
      <selection sqref="A1:E1"/>
    </sheetView>
  </sheetViews>
  <sheetFormatPr defaultRowHeight="12.5"/>
  <cols>
    <col min="1" max="1" width="27.36328125" customWidth="1"/>
    <col min="2" max="5" width="21.453125" customWidth="1"/>
    <col min="6" max="6" width="12.08984375" customWidth="1"/>
    <col min="7" max="7" width="11" customWidth="1"/>
    <col min="8" max="9" width="13" customWidth="1"/>
    <col min="10" max="10" width="16.453125" customWidth="1"/>
    <col min="11" max="11" width="12.6328125" customWidth="1"/>
    <col min="12" max="14" width="9.36328125" customWidth="1"/>
  </cols>
  <sheetData>
    <row r="1" spans="1:13" ht="20">
      <c r="A1" s="93" t="s">
        <v>79</v>
      </c>
      <c r="B1" s="93"/>
      <c r="C1" s="93"/>
      <c r="D1" s="93"/>
      <c r="E1" s="93"/>
      <c r="F1" s="6"/>
      <c r="G1" s="6"/>
      <c r="H1" s="6"/>
      <c r="I1" s="6"/>
      <c r="J1" s="6"/>
      <c r="K1" s="6"/>
      <c r="L1" s="6"/>
      <c r="M1" s="6"/>
    </row>
    <row r="2" spans="1:13">
      <c r="A2" s="92" t="s">
        <v>83</v>
      </c>
      <c r="B2" s="92"/>
      <c r="C2" s="92"/>
      <c r="D2" s="92"/>
      <c r="E2" s="92"/>
      <c r="F2" s="92"/>
      <c r="G2" s="92"/>
      <c r="H2" s="7"/>
      <c r="I2" s="7"/>
      <c r="J2" s="7"/>
      <c r="K2" s="7"/>
      <c r="L2" s="7"/>
      <c r="M2" s="7"/>
    </row>
    <row r="3" spans="1:13" ht="15.75" customHeight="1">
      <c r="A3" s="35"/>
      <c r="B3" s="35"/>
      <c r="C3" s="35"/>
      <c r="D3" s="35"/>
      <c r="E3" s="35"/>
      <c r="F3" s="35"/>
      <c r="G3" s="35"/>
      <c r="H3" s="35"/>
      <c r="I3" s="35"/>
      <c r="J3" s="35"/>
      <c r="K3" s="7"/>
      <c r="L3" s="7"/>
      <c r="M3" s="7"/>
    </row>
    <row r="4" spans="1:13" ht="15.75" customHeight="1">
      <c r="A4" s="99" t="s">
        <v>14</v>
      </c>
      <c r="B4" s="99"/>
      <c r="C4" s="60">
        <f>Calculations!C26+Calculations!H26</f>
        <v>2.0813760000000001</v>
      </c>
      <c r="D4" s="35"/>
      <c r="E4" s="35"/>
      <c r="F4" s="35"/>
      <c r="G4" s="35"/>
      <c r="H4" s="35"/>
      <c r="I4" s="35"/>
      <c r="J4" s="35"/>
      <c r="K4" s="7"/>
      <c r="L4" s="7"/>
      <c r="M4" s="7"/>
    </row>
    <row r="5" spans="1:13" ht="15.75" customHeight="1">
      <c r="A5" s="47"/>
      <c r="B5" s="47"/>
      <c r="C5" s="56"/>
      <c r="D5" s="35"/>
      <c r="E5" s="35"/>
      <c r="F5" s="35"/>
      <c r="G5" s="35"/>
      <c r="H5" s="35"/>
      <c r="I5" s="35"/>
      <c r="J5" s="35"/>
      <c r="K5" s="7"/>
      <c r="L5" s="7"/>
      <c r="M5" s="7"/>
    </row>
    <row r="6" spans="1:13" ht="13">
      <c r="A6" s="100" t="str">
        <f>IF(Inputs!E$20="Attainment","This facility is located in a ozone attainment area.",IF(Inputs!E$20="Nonattainment","This facility is located in an ozone nonattainment area.","ERROR"))</f>
        <v>This facility is located in an ozone nonattainment area.</v>
      </c>
      <c r="B6" s="100"/>
      <c r="C6" s="100"/>
      <c r="D6" s="36"/>
    </row>
    <row r="7" spans="1:13" ht="13">
      <c r="A7" s="4"/>
    </row>
    <row r="8" spans="1:13" ht="17.25" customHeight="1"/>
    <row r="9" spans="1:13" ht="13">
      <c r="A9" s="32"/>
    </row>
    <row r="10" spans="1:13">
      <c r="A10" s="36"/>
      <c r="B10" s="36"/>
      <c r="C10" s="36"/>
      <c r="D10" s="36"/>
      <c r="E10" s="36"/>
      <c r="F10" s="36"/>
    </row>
    <row r="11" spans="1:13">
      <c r="A11" s="36"/>
      <c r="B11" s="36"/>
      <c r="C11" s="36"/>
      <c r="D11" s="36"/>
      <c r="E11" s="36"/>
      <c r="F11" s="36"/>
    </row>
    <row r="12" spans="1:13">
      <c r="A12" s="36"/>
      <c r="B12" s="36"/>
      <c r="C12" s="36"/>
      <c r="D12" s="36"/>
      <c r="E12" s="36"/>
      <c r="F12" s="36"/>
    </row>
  </sheetData>
  <mergeCells count="4">
    <mergeCell ref="A4:B4"/>
    <mergeCell ref="A1:E1"/>
    <mergeCell ref="A6:C6"/>
    <mergeCell ref="A2:G2"/>
  </mergeCells>
  <phoneticPr fontId="3" type="noConversion"/>
  <pageMargins left="0.75" right="0.75" top="1" bottom="1" header="0.5" footer="0.5"/>
  <pageSetup scale="67" orientation="portrait" r:id="rId1"/>
  <headerFooter alignWithMargins="0">
    <oddHeader>&amp;ROutput - Criteria - &amp;D</oddHeader>
  </headerFooter>
  <customProperties>
    <customPr name="DVSECTION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sheetPr>
  <dimension ref="A1:Q78"/>
  <sheetViews>
    <sheetView topLeftCell="A3" zoomScaleNormal="100" workbookViewId="0">
      <selection activeCell="C22" sqref="C22"/>
    </sheetView>
    <sheetView topLeftCell="A10" workbookViewId="1">
      <selection activeCell="C22" sqref="C22"/>
    </sheetView>
  </sheetViews>
  <sheetFormatPr defaultRowHeight="12.5"/>
  <cols>
    <col min="1" max="1" width="34.453125" customWidth="1"/>
    <col min="2" max="2" width="14.90625" customWidth="1"/>
    <col min="3" max="3" width="15.54296875" customWidth="1"/>
    <col min="4" max="4" width="17.54296875" customWidth="1"/>
    <col min="5" max="5" width="16.54296875" customWidth="1"/>
    <col min="6" max="6" width="34.453125" customWidth="1"/>
    <col min="7" max="7" width="14.90625" customWidth="1"/>
    <col min="8" max="8" width="27.6328125" customWidth="1"/>
    <col min="9" max="9" width="17.54296875" customWidth="1"/>
    <col min="10" max="10" width="19.90625" customWidth="1"/>
    <col min="11" max="11" width="14.453125" customWidth="1"/>
    <col min="12" max="13" width="9.36328125" bestFit="1" customWidth="1"/>
    <col min="15" max="15" width="14.453125" customWidth="1"/>
    <col min="16" max="16" width="9.36328125" bestFit="1" customWidth="1"/>
    <col min="19" max="19" width="14.6328125" bestFit="1" customWidth="1"/>
    <col min="23" max="23" width="14.6328125" bestFit="1" customWidth="1"/>
  </cols>
  <sheetData>
    <row r="1" spans="1:15" ht="20">
      <c r="A1" s="93" t="s">
        <v>80</v>
      </c>
      <c r="B1" s="93"/>
      <c r="C1" s="93"/>
      <c r="D1" s="93"/>
      <c r="E1" s="93"/>
      <c r="F1" s="93"/>
      <c r="G1" s="93"/>
      <c r="H1" s="6"/>
      <c r="I1" s="6"/>
      <c r="J1" s="6"/>
      <c r="K1" s="6"/>
      <c r="L1" s="6"/>
      <c r="M1" s="6"/>
      <c r="N1" s="6"/>
      <c r="O1" s="6"/>
    </row>
    <row r="2" spans="1:15">
      <c r="A2" s="92" t="s">
        <v>83</v>
      </c>
      <c r="B2" s="92"/>
      <c r="C2" s="92"/>
      <c r="D2" s="92"/>
      <c r="E2" s="92"/>
      <c r="F2" s="92"/>
      <c r="G2" s="114"/>
      <c r="H2" s="7"/>
      <c r="I2" s="7"/>
      <c r="J2" s="7"/>
      <c r="K2" s="7"/>
      <c r="L2" s="7"/>
      <c r="M2" s="7"/>
      <c r="N2" s="7"/>
      <c r="O2" s="7"/>
    </row>
    <row r="3" spans="1:15" ht="63.75" customHeight="1">
      <c r="A3" s="113" t="s">
        <v>48</v>
      </c>
      <c r="B3" s="113"/>
      <c r="C3" s="113"/>
      <c r="D3" s="113"/>
      <c r="E3" s="113"/>
      <c r="F3" s="113"/>
      <c r="G3" s="113"/>
      <c r="H3" s="35"/>
      <c r="I3" s="35"/>
      <c r="J3" s="35"/>
      <c r="K3" s="35"/>
      <c r="L3" s="7"/>
      <c r="M3" s="7"/>
      <c r="N3" s="7"/>
      <c r="O3" s="7"/>
    </row>
    <row r="4" spans="1:15" ht="15" customHeight="1">
      <c r="H4" s="35"/>
      <c r="I4" s="35"/>
      <c r="J4" s="35"/>
      <c r="K4" s="35"/>
      <c r="L4" s="7"/>
      <c r="M4" s="7"/>
      <c r="N4" s="7"/>
      <c r="O4" s="7"/>
    </row>
    <row r="5" spans="1:15" ht="17.25" customHeight="1" thickBot="1">
      <c r="A5" s="74" t="s">
        <v>45</v>
      </c>
      <c r="B5" s="76">
        <f>Inputs!E18</f>
        <v>0</v>
      </c>
      <c r="C5" s="77"/>
      <c r="H5" s="35"/>
      <c r="I5" s="35"/>
      <c r="J5" s="35"/>
      <c r="K5" s="35"/>
      <c r="L5" s="7"/>
      <c r="M5" s="7"/>
      <c r="N5" s="7"/>
      <c r="O5" s="7"/>
    </row>
    <row r="6" spans="1:15" ht="26.25" customHeight="1" thickBot="1">
      <c r="A6" s="75" t="s">
        <v>44</v>
      </c>
      <c r="B6" s="78">
        <f>Inputs!E16</f>
        <v>0</v>
      </c>
      <c r="C6" s="79"/>
      <c r="H6" s="35"/>
      <c r="I6" s="35"/>
      <c r="J6" s="35"/>
      <c r="K6" s="35"/>
      <c r="L6" s="7"/>
      <c r="M6" s="7"/>
      <c r="N6" s="7"/>
      <c r="O6" s="7"/>
    </row>
    <row r="7" spans="1:15" ht="25.5" customHeight="1">
      <c r="A7" s="83" t="s">
        <v>52</v>
      </c>
      <c r="B7" s="73">
        <f>Inputs!E14</f>
        <v>0</v>
      </c>
      <c r="C7" s="68"/>
    </row>
    <row r="8" spans="1:15" ht="14.25" customHeight="1">
      <c r="A8" s="91" t="s">
        <v>38</v>
      </c>
      <c r="B8" s="80">
        <f>Inputs!E11</f>
        <v>12</v>
      </c>
      <c r="C8" s="81"/>
      <c r="E8" s="28"/>
    </row>
    <row r="9" spans="1:15" ht="13">
      <c r="A9" s="69" t="s">
        <v>22</v>
      </c>
      <c r="B9" s="107" t="str">
        <f>IF(Inputs!E20="Attainment","Attainment Area",IF(Inputs!E20="Nonattainment","Nonattainment Area","ERROR"))</f>
        <v>Nonattainment Area</v>
      </c>
      <c r="C9" s="107"/>
      <c r="E9" s="2"/>
    </row>
    <row r="10" spans="1:15" ht="25.5" customHeight="1">
      <c r="A10" s="84" t="s">
        <v>58</v>
      </c>
      <c r="B10" s="58">
        <f>((B8/C14*C15*C16*C17)+(0.95)*B6/C14*C15*C16*C17)</f>
        <v>4625280</v>
      </c>
      <c r="C10" s="50" t="s">
        <v>10</v>
      </c>
      <c r="D10" s="103" t="s">
        <v>53</v>
      </c>
      <c r="E10" s="104"/>
      <c r="F10" s="82">
        <f>(0.05*(B6)/C14*C15*C16*C17)+B7/C14*C15*C16*C17</f>
        <v>0</v>
      </c>
      <c r="G10" s="70" t="s">
        <v>10</v>
      </c>
    </row>
    <row r="11" spans="1:15" ht="29" customHeight="1">
      <c r="A11" s="85" t="s">
        <v>57</v>
      </c>
      <c r="B11" s="58">
        <f>(B5/H14*H15*H16*H17)+((B7)/C14*C15*C16*C17)+(0.05)*((B6)/C14*C15*C16*C17)</f>
        <v>0</v>
      </c>
      <c r="C11" s="50" t="s">
        <v>10</v>
      </c>
      <c r="D11" s="105" t="s">
        <v>59</v>
      </c>
      <c r="E11" s="106"/>
      <c r="F11" s="82">
        <f>((B5)/H14*H15*H16*H17)</f>
        <v>0</v>
      </c>
      <c r="G11" s="70" t="s">
        <v>10</v>
      </c>
    </row>
    <row r="12" spans="1:15">
      <c r="A12" s="3"/>
      <c r="B12" s="49"/>
      <c r="C12" s="5"/>
    </row>
    <row r="13" spans="1:15" ht="12.75" customHeight="1">
      <c r="A13" s="48" t="s">
        <v>49</v>
      </c>
      <c r="B13" s="3"/>
      <c r="C13" s="3"/>
      <c r="F13" s="1" t="s">
        <v>47</v>
      </c>
    </row>
    <row r="14" spans="1:15">
      <c r="A14" s="101" t="s">
        <v>50</v>
      </c>
      <c r="B14" s="102"/>
      <c r="C14" s="52">
        <v>0.25</v>
      </c>
      <c r="D14" s="51" t="s">
        <v>19</v>
      </c>
      <c r="F14" s="101" t="s">
        <v>50</v>
      </c>
      <c r="G14" s="102"/>
      <c r="H14" s="52">
        <v>0.33</v>
      </c>
      <c r="I14" s="51" t="s">
        <v>19</v>
      </c>
    </row>
    <row r="15" spans="1:15">
      <c r="A15" s="101" t="s">
        <v>17</v>
      </c>
      <c r="B15" s="102"/>
      <c r="C15" s="52">
        <v>24</v>
      </c>
      <c r="D15" s="51" t="s">
        <v>21</v>
      </c>
      <c r="F15" s="101" t="s">
        <v>17</v>
      </c>
      <c r="G15" s="102"/>
      <c r="H15" s="52">
        <v>24</v>
      </c>
      <c r="I15" s="51" t="s">
        <v>21</v>
      </c>
    </row>
    <row r="16" spans="1:15">
      <c r="A16" s="101" t="s">
        <v>18</v>
      </c>
      <c r="B16" s="102"/>
      <c r="C16" s="52">
        <v>365</v>
      </c>
      <c r="D16" s="51" t="s">
        <v>20</v>
      </c>
      <c r="E16" s="22"/>
      <c r="F16" s="101" t="s">
        <v>18</v>
      </c>
      <c r="G16" s="102"/>
      <c r="H16" s="52">
        <v>365</v>
      </c>
      <c r="I16" s="51" t="s">
        <v>20</v>
      </c>
    </row>
    <row r="17" spans="1:17">
      <c r="A17" s="109" t="s">
        <v>51</v>
      </c>
      <c r="B17" s="110"/>
      <c r="C17" s="52">
        <v>11</v>
      </c>
      <c r="D17" s="51" t="s">
        <v>24</v>
      </c>
      <c r="E17" s="22"/>
      <c r="F17" s="101" t="s">
        <v>51</v>
      </c>
      <c r="G17" s="102"/>
      <c r="H17" s="52">
        <v>110</v>
      </c>
      <c r="I17" s="51" t="s">
        <v>24</v>
      </c>
    </row>
    <row r="18" spans="1:17" ht="27" customHeight="1">
      <c r="A18" s="116" t="s">
        <v>71</v>
      </c>
      <c r="B18" s="117"/>
      <c r="C18" s="86">
        <v>5</v>
      </c>
      <c r="D18" s="87" t="s">
        <v>60</v>
      </c>
      <c r="E18" s="22"/>
      <c r="F18" s="37"/>
      <c r="G18" s="5"/>
    </row>
    <row r="19" spans="1:17" ht="13">
      <c r="A19" s="4"/>
      <c r="C19" s="42"/>
      <c r="D19" s="3"/>
      <c r="E19" s="22"/>
      <c r="F19" s="37"/>
      <c r="G19" s="5"/>
    </row>
    <row r="20" spans="1:17" ht="15">
      <c r="A20" s="1" t="s">
        <v>76</v>
      </c>
      <c r="E20" s="1" t="s">
        <v>77</v>
      </c>
      <c r="F20" s="1"/>
    </row>
    <row r="21" spans="1:17" s="16" customFormat="1" ht="37.5">
      <c r="A21" s="23" t="s">
        <v>56</v>
      </c>
      <c r="B21" s="24" t="s">
        <v>74</v>
      </c>
      <c r="C21" s="25" t="s">
        <v>73</v>
      </c>
      <c r="E21" s="111" t="s">
        <v>56</v>
      </c>
      <c r="F21" s="112"/>
      <c r="G21" s="24" t="s">
        <v>69</v>
      </c>
      <c r="H21" s="25" t="s">
        <v>39</v>
      </c>
    </row>
    <row r="22" spans="1:17" s="16" customFormat="1" ht="25.5" customHeight="1">
      <c r="A22" s="23" t="s">
        <v>75</v>
      </c>
      <c r="B22" s="24">
        <v>11.5</v>
      </c>
      <c r="C22" s="88">
        <f>IF($B$10&lt;10000,$B$10/1000*$B$22/2000,0)</f>
        <v>0</v>
      </c>
      <c r="D22" s="89"/>
      <c r="E22" s="111"/>
      <c r="F22" s="112"/>
      <c r="G22" s="24" t="s">
        <v>4</v>
      </c>
      <c r="H22" s="25" t="s">
        <v>0</v>
      </c>
    </row>
    <row r="23" spans="1:17" s="16" customFormat="1" ht="18" customHeight="1">
      <c r="A23" s="23" t="s">
        <v>5</v>
      </c>
      <c r="B23" s="27">
        <v>0.3</v>
      </c>
      <c r="C23" s="53">
        <f>$B$10*$B23/1000/2000</f>
        <v>0.69379200000000008</v>
      </c>
      <c r="E23" s="111" t="s">
        <v>66</v>
      </c>
      <c r="F23" s="112"/>
      <c r="G23" s="26">
        <v>0.04</v>
      </c>
      <c r="H23" s="53">
        <f>$B$11*$G23/1000/2000</f>
        <v>0</v>
      </c>
    </row>
    <row r="24" spans="1:17" s="16" customFormat="1" ht="18" customHeight="1">
      <c r="A24" s="23" t="s">
        <v>7</v>
      </c>
      <c r="B24" s="27">
        <v>0.25</v>
      </c>
      <c r="C24" s="53">
        <f>$B$10*$B24/1000/2000</f>
        <v>0.57816000000000001</v>
      </c>
      <c r="E24" s="111" t="s">
        <v>67</v>
      </c>
      <c r="F24" s="112"/>
      <c r="G24" s="26">
        <v>2.75E-2</v>
      </c>
      <c r="H24" s="53">
        <f>$B$11*$G24/1000/2000</f>
        <v>0</v>
      </c>
    </row>
    <row r="25" spans="1:17" s="16" customFormat="1" ht="18" customHeight="1">
      <c r="A25" s="23" t="s">
        <v>65</v>
      </c>
      <c r="B25" s="27">
        <f>VLOOKUP(Inputs!E23,B61:E78,IF(Inputs!E$20="Attainment",4,IF(Inputs!E$20="Nonattainment",3,0)),TRUE)</f>
        <v>0.35</v>
      </c>
      <c r="C25" s="53">
        <f>$B$10*$B25/1000/2000</f>
        <v>0.80942400000000003</v>
      </c>
      <c r="E25" s="111" t="s">
        <v>68</v>
      </c>
      <c r="F25" s="112"/>
      <c r="G25" s="26">
        <v>0.04</v>
      </c>
      <c r="H25" s="53">
        <f>$B$11*$G25/1000/2000</f>
        <v>0</v>
      </c>
    </row>
    <row r="26" spans="1:17" s="16" customFormat="1" ht="18" customHeight="1">
      <c r="A26" s="43" t="s">
        <v>11</v>
      </c>
      <c r="B26" s="53">
        <f>SUM(B23:B25)</f>
        <v>0.9</v>
      </c>
      <c r="C26" s="53">
        <f>SUM(C22:C25)</f>
        <v>2.0813760000000001</v>
      </c>
      <c r="E26" s="118" t="s">
        <v>11</v>
      </c>
      <c r="F26" s="119"/>
      <c r="G26" s="53">
        <f>SUM(G23:G25)</f>
        <v>0.10750000000000001</v>
      </c>
      <c r="H26" s="53">
        <f>SUM(H23:H25)</f>
        <v>0</v>
      </c>
    </row>
    <row r="27" spans="1:17" s="16" customFormat="1">
      <c r="B27" s="17"/>
      <c r="C27" s="29"/>
      <c r="D27" s="29"/>
      <c r="E27" s="30"/>
      <c r="F27" s="31"/>
      <c r="G27" s="31"/>
      <c r="H27" s="17"/>
      <c r="I27" s="18"/>
      <c r="J27" s="44"/>
      <c r="K27" s="19"/>
      <c r="L27" s="18"/>
      <c r="M27" s="18"/>
      <c r="N27" s="20"/>
      <c r="O27" s="20"/>
      <c r="P27" s="21"/>
      <c r="Q27" s="18"/>
    </row>
    <row r="28" spans="1:17" s="16" customFormat="1" ht="13">
      <c r="A28" s="54" t="s">
        <v>3</v>
      </c>
      <c r="B28" s="17"/>
      <c r="C28" s="29"/>
      <c r="D28" s="29"/>
      <c r="E28" s="30"/>
      <c r="F28" s="31"/>
      <c r="G28" s="31"/>
      <c r="H28" s="17"/>
      <c r="I28" s="18"/>
      <c r="J28" s="44"/>
      <c r="K28" s="19"/>
      <c r="L28" s="18"/>
      <c r="M28" s="18"/>
      <c r="N28" s="20"/>
      <c r="O28" s="20"/>
      <c r="P28" s="21"/>
      <c r="Q28" s="18"/>
    </row>
    <row r="29" spans="1:17" s="16" customFormat="1">
      <c r="A29" s="108" t="s">
        <v>61</v>
      </c>
      <c r="B29" s="108"/>
      <c r="C29" s="108"/>
      <c r="D29" s="108"/>
      <c r="E29" s="108"/>
      <c r="F29" s="108"/>
      <c r="G29" s="108"/>
      <c r="H29" s="17"/>
      <c r="I29" s="18"/>
      <c r="J29" s="44"/>
      <c r="K29" s="19"/>
      <c r="L29" s="18"/>
      <c r="M29" s="18"/>
      <c r="N29" s="20"/>
      <c r="O29" s="20"/>
      <c r="P29" s="21"/>
      <c r="Q29" s="18"/>
    </row>
    <row r="30" spans="1:17" s="16" customFormat="1">
      <c r="A30" s="108" t="s">
        <v>62</v>
      </c>
      <c r="B30" s="108"/>
      <c r="C30" s="108"/>
      <c r="D30" s="108"/>
      <c r="E30" s="108"/>
      <c r="F30" s="108"/>
      <c r="G30" s="108"/>
      <c r="H30" s="17"/>
      <c r="I30" s="18"/>
      <c r="J30" s="44"/>
      <c r="K30" s="19"/>
      <c r="L30" s="18"/>
      <c r="M30" s="18"/>
      <c r="N30" s="20"/>
      <c r="O30" s="20"/>
      <c r="P30" s="21"/>
      <c r="Q30" s="18"/>
    </row>
    <row r="31" spans="1:17" s="16" customFormat="1">
      <c r="A31" s="55"/>
      <c r="B31" s="55"/>
      <c r="C31" s="55"/>
      <c r="D31" s="55"/>
      <c r="E31" s="55"/>
      <c r="F31" s="55"/>
      <c r="G31" s="55"/>
      <c r="H31" s="17"/>
      <c r="I31" s="18"/>
      <c r="J31" s="44"/>
      <c r="K31" s="19"/>
      <c r="L31" s="18"/>
      <c r="M31" s="18"/>
      <c r="N31" s="20"/>
      <c r="O31" s="20"/>
      <c r="P31" s="21"/>
      <c r="Q31" s="18"/>
    </row>
    <row r="32" spans="1:17" s="16" customFormat="1" ht="13">
      <c r="A32" s="57" t="s">
        <v>23</v>
      </c>
      <c r="B32" s="55"/>
      <c r="C32" s="55"/>
      <c r="D32" s="55"/>
      <c r="E32" s="55"/>
      <c r="F32" s="55"/>
      <c r="G32" s="55"/>
      <c r="H32" s="17"/>
      <c r="I32" s="18"/>
      <c r="J32" s="44"/>
      <c r="K32" s="19"/>
      <c r="L32" s="18"/>
      <c r="M32" s="18"/>
      <c r="N32" s="20"/>
      <c r="O32" s="20"/>
      <c r="P32" s="21"/>
      <c r="Q32" s="18"/>
    </row>
    <row r="33" spans="1:17" s="10" customFormat="1" ht="14.25" customHeight="1">
      <c r="A33" s="28" t="s">
        <v>6</v>
      </c>
    </row>
    <row r="34" spans="1:17" s="10" customFormat="1" ht="27.75" customHeight="1">
      <c r="A34" s="94" t="s">
        <v>8</v>
      </c>
      <c r="B34" s="94"/>
      <c r="C34" s="94"/>
      <c r="D34" s="94"/>
      <c r="E34" s="94"/>
      <c r="F34" s="94"/>
      <c r="G34" s="94"/>
    </row>
    <row r="35" spans="1:17" s="10" customFormat="1" ht="28.5" customHeight="1">
      <c r="A35" s="94" t="s">
        <v>63</v>
      </c>
      <c r="B35" s="94"/>
      <c r="C35" s="94"/>
      <c r="D35" s="94"/>
      <c r="E35" s="94"/>
      <c r="F35" s="94"/>
      <c r="G35" s="94"/>
    </row>
    <row r="36" spans="1:17" s="10" customFormat="1" ht="121.5" customHeight="1">
      <c r="A36" s="94" t="s">
        <v>64</v>
      </c>
      <c r="B36" s="94"/>
      <c r="C36" s="94"/>
      <c r="D36" s="94"/>
      <c r="E36" s="94"/>
      <c r="F36" s="94"/>
      <c r="G36" s="94"/>
    </row>
    <row r="37" spans="1:17" s="10" customFormat="1" ht="28.5" customHeight="1">
      <c r="A37" s="94" t="s">
        <v>46</v>
      </c>
      <c r="B37" s="94"/>
      <c r="C37" s="94"/>
      <c r="D37" s="94"/>
      <c r="E37" s="94"/>
      <c r="F37" s="94"/>
      <c r="G37" s="94"/>
    </row>
    <row r="38" spans="1:17" s="10" customFormat="1" ht="32.25" customHeight="1">
      <c r="A38" s="94" t="s">
        <v>72</v>
      </c>
      <c r="B38" s="94"/>
      <c r="C38" s="94"/>
      <c r="D38" s="94"/>
      <c r="E38" s="94"/>
      <c r="F38" s="94"/>
      <c r="G38" s="94"/>
    </row>
    <row r="39" spans="1:17" s="15" customFormat="1" ht="32" customHeight="1">
      <c r="A39" s="115" t="s">
        <v>82</v>
      </c>
      <c r="B39" s="115"/>
      <c r="C39" s="115"/>
      <c r="D39" s="115"/>
      <c r="E39" s="115"/>
      <c r="F39" s="115"/>
      <c r="G39" s="115"/>
      <c r="H39" s="11"/>
      <c r="I39" s="12"/>
      <c r="J39" s="13"/>
      <c r="K39" s="13"/>
      <c r="L39" s="13"/>
      <c r="M39" s="13"/>
      <c r="N39" s="13"/>
      <c r="O39" s="13"/>
      <c r="P39" s="13"/>
      <c r="Q39" s="14"/>
    </row>
    <row r="40" spans="1:17" s="15" customFormat="1" ht="14.5">
      <c r="A40" s="90" t="s">
        <v>81</v>
      </c>
      <c r="B40" s="38"/>
      <c r="C40" s="38"/>
      <c r="D40" s="38"/>
      <c r="E40" s="38"/>
      <c r="F40" s="38"/>
      <c r="G40" s="38"/>
      <c r="H40" s="11"/>
      <c r="I40" s="12"/>
      <c r="J40" s="13"/>
      <c r="K40" s="13"/>
      <c r="L40" s="13"/>
      <c r="M40" s="13"/>
      <c r="N40" s="13"/>
      <c r="O40" s="13"/>
      <c r="P40" s="13"/>
      <c r="Q40" s="14"/>
    </row>
    <row r="41" spans="1:17">
      <c r="A41" s="8"/>
    </row>
    <row r="42" spans="1:17">
      <c r="A42" s="9"/>
    </row>
    <row r="43" spans="1:17">
      <c r="A43" s="9"/>
    </row>
    <row r="46" spans="1:17">
      <c r="A46" s="2" t="s">
        <v>2</v>
      </c>
    </row>
    <row r="56" spans="2:5" hidden="1">
      <c r="B56" s="2" t="s">
        <v>35</v>
      </c>
    </row>
    <row r="57" spans="2:5" ht="30" hidden="1">
      <c r="B57" s="61" t="s">
        <v>25</v>
      </c>
      <c r="C57" s="61" t="s">
        <v>28</v>
      </c>
      <c r="D57" s="61" t="s">
        <v>31</v>
      </c>
      <c r="E57" s="61" t="s">
        <v>34</v>
      </c>
    </row>
    <row r="58" spans="2:5" ht="15" hidden="1">
      <c r="B58" s="62" t="s">
        <v>26</v>
      </c>
      <c r="C58" s="62" t="s">
        <v>29</v>
      </c>
      <c r="D58" s="62" t="s">
        <v>32</v>
      </c>
      <c r="E58" s="62" t="s">
        <v>32</v>
      </c>
    </row>
    <row r="59" spans="2:5" ht="15" hidden="1">
      <c r="B59" s="62" t="s">
        <v>27</v>
      </c>
      <c r="C59" s="62" t="s">
        <v>30</v>
      </c>
      <c r="D59" s="62" t="s">
        <v>33</v>
      </c>
      <c r="E59" s="62" t="s">
        <v>33</v>
      </c>
    </row>
    <row r="60" spans="2:5" hidden="1">
      <c r="B60" s="63"/>
      <c r="C60" s="63"/>
      <c r="D60" s="63"/>
      <c r="E60" s="63"/>
    </row>
    <row r="61" spans="2:5" ht="15.5" hidden="1">
      <c r="B61" s="64">
        <v>2013</v>
      </c>
      <c r="C61" s="64">
        <v>79.42</v>
      </c>
      <c r="D61" s="64">
        <v>1.54</v>
      </c>
      <c r="E61" s="64">
        <v>2.2200000000000002</v>
      </c>
    </row>
    <row r="62" spans="2:5" ht="15.5" hidden="1">
      <c r="B62" s="64">
        <v>2014</v>
      </c>
      <c r="C62" s="64">
        <v>82.29</v>
      </c>
      <c r="D62" s="64">
        <v>1.33</v>
      </c>
      <c r="E62" s="64">
        <v>1.91</v>
      </c>
    </row>
    <row r="63" spans="2:5" ht="15.5" hidden="1">
      <c r="B63" s="64">
        <v>2015</v>
      </c>
      <c r="C63" s="64">
        <v>84.75</v>
      </c>
      <c r="D63" s="64">
        <v>1.1399999999999999</v>
      </c>
      <c r="E63" s="64">
        <v>1.65</v>
      </c>
    </row>
    <row r="64" spans="2:5" ht="15.5" hidden="1">
      <c r="B64" s="64">
        <v>2016</v>
      </c>
      <c r="C64" s="64">
        <v>86.8</v>
      </c>
      <c r="D64" s="64">
        <v>0.99</v>
      </c>
      <c r="E64" s="64">
        <v>1.43</v>
      </c>
    </row>
    <row r="65" spans="2:5" ht="15.5" hidden="1">
      <c r="B65" s="64">
        <v>2017</v>
      </c>
      <c r="C65" s="64">
        <v>88.53</v>
      </c>
      <c r="D65" s="64">
        <v>0.86</v>
      </c>
      <c r="E65" s="64">
        <v>1.24</v>
      </c>
    </row>
    <row r="66" spans="2:5" ht="15.5" hidden="1">
      <c r="B66" s="64">
        <v>2018</v>
      </c>
      <c r="C66" s="64">
        <v>90.03</v>
      </c>
      <c r="D66" s="64">
        <v>0.75</v>
      </c>
      <c r="E66" s="64">
        <v>1.08</v>
      </c>
    </row>
    <row r="67" spans="2:5" ht="15.5" hidden="1">
      <c r="B67" s="64">
        <v>2019</v>
      </c>
      <c r="C67" s="64">
        <v>91.32</v>
      </c>
      <c r="D67" s="64">
        <v>0.65</v>
      </c>
      <c r="E67" s="64">
        <v>0.94</v>
      </c>
    </row>
    <row r="68" spans="2:5" ht="15.5" hidden="1">
      <c r="B68" s="64">
        <v>2020</v>
      </c>
      <c r="C68" s="64">
        <v>92.39</v>
      </c>
      <c r="D68" s="64">
        <v>0.56999999999999995</v>
      </c>
      <c r="E68" s="64">
        <v>0.82</v>
      </c>
    </row>
    <row r="69" spans="2:5" ht="15.5" hidden="1">
      <c r="B69" s="64">
        <v>2021</v>
      </c>
      <c r="C69" s="64">
        <v>93.31</v>
      </c>
      <c r="D69" s="64">
        <v>0.5</v>
      </c>
      <c r="E69" s="64">
        <v>0.72</v>
      </c>
    </row>
    <row r="70" spans="2:5" ht="15.5" hidden="1">
      <c r="B70" s="64">
        <v>2022</v>
      </c>
      <c r="C70" s="64">
        <v>94.06</v>
      </c>
      <c r="D70" s="64">
        <v>0.45</v>
      </c>
      <c r="E70" s="64">
        <v>0.64</v>
      </c>
    </row>
    <row r="71" spans="2:5" ht="15.5" hidden="1">
      <c r="B71" s="64">
        <v>2023</v>
      </c>
      <c r="C71" s="64">
        <v>94.71</v>
      </c>
      <c r="D71" s="64">
        <v>0.4</v>
      </c>
      <c r="E71" s="64">
        <v>0.56999999999999995</v>
      </c>
    </row>
    <row r="72" spans="2:5" ht="15.5" hidden="1">
      <c r="B72" s="64">
        <v>2024</v>
      </c>
      <c r="C72" s="64">
        <v>95.27</v>
      </c>
      <c r="D72" s="64">
        <v>0.35</v>
      </c>
      <c r="E72" s="64">
        <v>0.51</v>
      </c>
    </row>
    <row r="73" spans="2:5" ht="15.5" hidden="1">
      <c r="B73" s="64">
        <v>2025</v>
      </c>
      <c r="C73" s="64">
        <v>95.75</v>
      </c>
      <c r="D73" s="64">
        <v>0.32</v>
      </c>
      <c r="E73" s="64">
        <v>0.46</v>
      </c>
    </row>
    <row r="74" spans="2:5" ht="15.5" hidden="1">
      <c r="B74" s="64">
        <v>2026</v>
      </c>
      <c r="C74" s="64">
        <v>96.16</v>
      </c>
      <c r="D74" s="64">
        <v>0.28999999999999998</v>
      </c>
      <c r="E74" s="64">
        <v>0.41</v>
      </c>
    </row>
    <row r="75" spans="2:5" ht="15.5" hidden="1">
      <c r="B75" s="64">
        <v>2027</v>
      </c>
      <c r="C75" s="64">
        <v>96.51</v>
      </c>
      <c r="D75" s="64">
        <v>0.26</v>
      </c>
      <c r="E75" s="64">
        <v>0.38</v>
      </c>
    </row>
    <row r="76" spans="2:5" ht="15.5" hidden="1">
      <c r="B76" s="64">
        <v>2028</v>
      </c>
      <c r="C76" s="64">
        <v>96.81</v>
      </c>
      <c r="D76" s="64">
        <v>0.24</v>
      </c>
      <c r="E76" s="64">
        <v>0.34</v>
      </c>
    </row>
    <row r="77" spans="2:5" ht="15.5" hidden="1">
      <c r="B77" s="64">
        <v>2029</v>
      </c>
      <c r="C77" s="64">
        <v>97.09</v>
      </c>
      <c r="D77" s="64">
        <v>0.22</v>
      </c>
      <c r="E77" s="64">
        <v>0.31</v>
      </c>
    </row>
    <row r="78" spans="2:5" ht="15.5" hidden="1">
      <c r="B78" s="64">
        <v>2030</v>
      </c>
      <c r="C78" s="64">
        <v>97.32</v>
      </c>
      <c r="D78" s="64">
        <v>0.2</v>
      </c>
      <c r="E78" s="64">
        <v>0.28999999999999998</v>
      </c>
    </row>
  </sheetData>
  <mergeCells count="29">
    <mergeCell ref="A39:G39"/>
    <mergeCell ref="A38:G38"/>
    <mergeCell ref="A18:B18"/>
    <mergeCell ref="E26:F26"/>
    <mergeCell ref="A37:G37"/>
    <mergeCell ref="A35:G35"/>
    <mergeCell ref="A36:G36"/>
    <mergeCell ref="E21:F21"/>
    <mergeCell ref="A3:G3"/>
    <mergeCell ref="F14:G14"/>
    <mergeCell ref="F15:G15"/>
    <mergeCell ref="F16:G16"/>
    <mergeCell ref="A2:G2"/>
    <mergeCell ref="F17:G17"/>
    <mergeCell ref="D10:E10"/>
    <mergeCell ref="D11:E11"/>
    <mergeCell ref="A1:G1"/>
    <mergeCell ref="A34:G34"/>
    <mergeCell ref="B9:C9"/>
    <mergeCell ref="A29:G29"/>
    <mergeCell ref="A30:G30"/>
    <mergeCell ref="A14:B14"/>
    <mergeCell ref="A15:B15"/>
    <mergeCell ref="A16:B16"/>
    <mergeCell ref="A17:B17"/>
    <mergeCell ref="E22:F22"/>
    <mergeCell ref="E23:F23"/>
    <mergeCell ref="E24:F24"/>
    <mergeCell ref="E25:F25"/>
  </mergeCells>
  <phoneticPr fontId="3" type="noConversion"/>
  <pageMargins left="0.75" right="0.75" top="1" bottom="1" header="0.5" footer="0.5"/>
  <pageSetup scale="67" orientation="portrait" r:id="rId1"/>
  <headerFooter alignWithMargins="0">
    <oddHeader>&amp;RDrum - Prod.Crit - &amp;D</oddHeader>
  </headerFooter>
  <colBreaks count="1" manualBreakCount="1">
    <brk id="11" max="1048575" man="1"/>
  </colBreaks>
  <customProperties>
    <customPr name="DVSECTION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F333-B909-497F-AD1D-A3C1720AADA5}">
  <dimension ref="A1:D4"/>
  <sheetViews>
    <sheetView tabSelected="1" topLeftCell="C1" workbookViewId="0">
      <selection activeCell="E3" sqref="E3"/>
    </sheetView>
    <sheetView tabSelected="1" topLeftCell="A3" workbookViewId="1">
      <selection activeCell="C3" sqref="C3:C4"/>
    </sheetView>
  </sheetViews>
  <sheetFormatPr defaultRowHeight="12.5"/>
  <cols>
    <col min="1" max="1" width="14.6328125" customWidth="1"/>
    <col min="2" max="2" width="15.453125" customWidth="1"/>
    <col min="3" max="3" width="78.26953125" customWidth="1"/>
    <col min="4" max="4" width="18.81640625" customWidth="1"/>
  </cols>
  <sheetData>
    <row r="1" spans="1:4" ht="14.5">
      <c r="A1" s="120" t="s">
        <v>84</v>
      </c>
      <c r="B1" s="120"/>
      <c r="C1" s="120" t="s">
        <v>85</v>
      </c>
      <c r="D1" s="121" t="s">
        <v>86</v>
      </c>
    </row>
    <row r="2" spans="1:4" ht="14.5">
      <c r="A2" s="122" t="s">
        <v>87</v>
      </c>
      <c r="B2" s="123">
        <v>42086</v>
      </c>
      <c r="C2" s="122"/>
      <c r="D2" s="124"/>
    </row>
    <row r="3" spans="1:4" ht="409.5" customHeight="1">
      <c r="A3" s="137" t="s">
        <v>88</v>
      </c>
      <c r="B3" s="138">
        <v>45420</v>
      </c>
      <c r="C3" s="139" t="s">
        <v>94</v>
      </c>
      <c r="D3" s="136" t="s">
        <v>89</v>
      </c>
    </row>
    <row r="4" spans="1:4" ht="178" customHeight="1">
      <c r="A4" s="137"/>
      <c r="B4" s="138"/>
      <c r="C4" s="139"/>
      <c r="D4" s="136"/>
    </row>
  </sheetData>
  <mergeCells count="4">
    <mergeCell ref="D3:D4"/>
    <mergeCell ref="A3:A4"/>
    <mergeCell ref="B3:B4"/>
    <mergeCell ref="C3:C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IV94"/>
  <sheetViews>
    <sheetView workbookViewId="0">
      <selection activeCell="GM94" sqref="GM94"/>
    </sheetView>
    <sheetView workbookViewId="1"/>
  </sheetViews>
  <sheetFormatPr defaultRowHeight="12.5"/>
  <sheetData>
    <row r="1" spans="1:256">
      <c r="A1" t="e">
        <f>IF(Inputs!1:1,"AAAAAH3zvQA=",0)</f>
        <v>#VALUE!</v>
      </c>
      <c r="B1" t="e">
        <f>AND(Inputs!A1,"AAAAAH3zvQE=")</f>
        <v>#VALUE!</v>
      </c>
      <c r="C1" t="e">
        <f>AND(Inputs!#REF!,"AAAAAH3zvQI=")</f>
        <v>#REF!</v>
      </c>
      <c r="D1" t="e">
        <f>AND(Inputs!B1,"AAAAAH3zvQM=")</f>
        <v>#VALUE!</v>
      </c>
      <c r="E1" t="e">
        <f>AND(Inputs!C1,"AAAAAH3zvQQ=")</f>
        <v>#VALUE!</v>
      </c>
      <c r="F1" t="e">
        <f>AND(Inputs!D1,"AAAAAH3zvQU=")</f>
        <v>#VALUE!</v>
      </c>
      <c r="G1" t="e">
        <f>AND(Inputs!E1,"AAAAAH3zvQY=")</f>
        <v>#VALUE!</v>
      </c>
      <c r="H1" t="e">
        <f>AND(Inputs!F1,"AAAAAH3zvQc=")</f>
        <v>#VALUE!</v>
      </c>
      <c r="I1" t="e">
        <f>AND(Inputs!G1,"AAAAAH3zvQg=")</f>
        <v>#VALUE!</v>
      </c>
      <c r="J1" t="e">
        <f>AND(Inputs!H1,"AAAAAH3zvQk=")</f>
        <v>#VALUE!</v>
      </c>
      <c r="K1" t="e">
        <f>AND(Inputs!I1,"AAAAAH3zvQo=")</f>
        <v>#VALUE!</v>
      </c>
      <c r="L1" t="e">
        <f>AND(Inputs!J1,"AAAAAH3zvQs=")</f>
        <v>#VALUE!</v>
      </c>
      <c r="M1" t="e">
        <f>AND(Inputs!K1,"AAAAAH3zvQw=")</f>
        <v>#VALUE!</v>
      </c>
      <c r="N1" t="e">
        <f>AND(Inputs!L1,"AAAAAH3zvQ0=")</f>
        <v>#VALUE!</v>
      </c>
      <c r="O1">
        <f>IF(Inputs!2:2,"AAAAAH3zvQ4=",0)</f>
        <v>0</v>
      </c>
      <c r="P1" t="e">
        <f>AND(Inputs!A2,"AAAAAH3zvQ8=")</f>
        <v>#VALUE!</v>
      </c>
      <c r="Q1" t="e">
        <f>AND(Inputs!#REF!,"AAAAAH3zvRA=")</f>
        <v>#REF!</v>
      </c>
      <c r="R1" t="e">
        <f>AND(Inputs!B2,"AAAAAH3zvRE=")</f>
        <v>#VALUE!</v>
      </c>
      <c r="S1" t="e">
        <f>AND(Inputs!C2,"AAAAAH3zvRI=")</f>
        <v>#VALUE!</v>
      </c>
      <c r="T1" t="e">
        <f>AND(Inputs!D2,"AAAAAH3zvRM=")</f>
        <v>#VALUE!</v>
      </c>
      <c r="U1" t="e">
        <f>AND(Inputs!E2,"AAAAAH3zvRQ=")</f>
        <v>#VALUE!</v>
      </c>
      <c r="V1" t="e">
        <f>AND(Inputs!F2,"AAAAAH3zvRU=")</f>
        <v>#VALUE!</v>
      </c>
      <c r="W1" t="e">
        <f>AND(Inputs!G2,"AAAAAH3zvRY=")</f>
        <v>#VALUE!</v>
      </c>
      <c r="X1" t="e">
        <f>AND(Inputs!H2,"AAAAAH3zvRc=")</f>
        <v>#VALUE!</v>
      </c>
      <c r="Y1" t="e">
        <f>AND(Inputs!I2,"AAAAAH3zvRg=")</f>
        <v>#VALUE!</v>
      </c>
      <c r="Z1" t="e">
        <f>AND(Inputs!J2,"AAAAAH3zvRk=")</f>
        <v>#VALUE!</v>
      </c>
      <c r="AA1" t="e">
        <f>AND(Inputs!K2,"AAAAAH3zvRo=")</f>
        <v>#VALUE!</v>
      </c>
      <c r="AB1" t="e">
        <f>AND(Inputs!L2,"AAAAAH3zvRs=")</f>
        <v>#VALUE!</v>
      </c>
      <c r="AC1">
        <f>IF(Inputs!3:3,"AAAAAH3zvRw=",0)</f>
        <v>0</v>
      </c>
      <c r="AD1" t="e">
        <f>AND(Inputs!A3,"AAAAAH3zvR0=")</f>
        <v>#VALUE!</v>
      </c>
      <c r="AE1" t="e">
        <f>AND(Inputs!#REF!,"AAAAAH3zvR4=")</f>
        <v>#REF!</v>
      </c>
      <c r="AF1" t="e">
        <f>AND(Inputs!B3,"AAAAAH3zvR8=")</f>
        <v>#VALUE!</v>
      </c>
      <c r="AG1" t="e">
        <f>AND(Inputs!C3,"AAAAAH3zvSA=")</f>
        <v>#VALUE!</v>
      </c>
      <c r="AH1" t="e">
        <f>AND(Inputs!D3,"AAAAAH3zvSE=")</f>
        <v>#VALUE!</v>
      </c>
      <c r="AI1" t="e">
        <f>AND(Inputs!E3,"AAAAAH3zvSI=")</f>
        <v>#VALUE!</v>
      </c>
      <c r="AJ1" t="e">
        <f>AND(Inputs!F3,"AAAAAH3zvSM=")</f>
        <v>#VALUE!</v>
      </c>
      <c r="AK1" t="e">
        <f>AND(Inputs!G3,"AAAAAH3zvSQ=")</f>
        <v>#VALUE!</v>
      </c>
      <c r="AL1" t="e">
        <f>AND(Inputs!H3,"AAAAAH3zvSU=")</f>
        <v>#VALUE!</v>
      </c>
      <c r="AM1" t="e">
        <f>AND(Inputs!I3,"AAAAAH3zvSY=")</f>
        <v>#VALUE!</v>
      </c>
      <c r="AN1" t="e">
        <f>AND(Inputs!J3,"AAAAAH3zvSc=")</f>
        <v>#VALUE!</v>
      </c>
      <c r="AO1" t="e">
        <f>AND(Inputs!K3,"AAAAAH3zvSg=")</f>
        <v>#VALUE!</v>
      </c>
      <c r="AP1" t="e">
        <f>AND(Inputs!L3,"AAAAAH3zvSk=")</f>
        <v>#VALUE!</v>
      </c>
      <c r="AQ1">
        <f>IF(Inputs!4:4,"AAAAAH3zvSo=",0)</f>
        <v>0</v>
      </c>
      <c r="AR1" t="e">
        <f>AND(Inputs!A4,"AAAAAH3zvSs=")</f>
        <v>#VALUE!</v>
      </c>
      <c r="AS1" t="e">
        <f>AND(Inputs!#REF!,"AAAAAH3zvSw=")</f>
        <v>#REF!</v>
      </c>
      <c r="AT1" t="e">
        <f>AND(Inputs!B4,"AAAAAH3zvS0=")</f>
        <v>#VALUE!</v>
      </c>
      <c r="AU1" t="e">
        <f>AND(Inputs!C4,"AAAAAH3zvS4=")</f>
        <v>#VALUE!</v>
      </c>
      <c r="AV1" t="e">
        <f>AND(Inputs!D4,"AAAAAH3zvS8=")</f>
        <v>#VALUE!</v>
      </c>
      <c r="AW1" t="e">
        <f>AND(Inputs!E4,"AAAAAH3zvTA=")</f>
        <v>#VALUE!</v>
      </c>
      <c r="AX1" t="e">
        <f>AND(Inputs!F4,"AAAAAH3zvTE=")</f>
        <v>#VALUE!</v>
      </c>
      <c r="AY1" t="e">
        <f>AND(Inputs!G4,"AAAAAH3zvTI=")</f>
        <v>#VALUE!</v>
      </c>
      <c r="AZ1" t="e">
        <f>AND(Inputs!H4,"AAAAAH3zvTM=")</f>
        <v>#VALUE!</v>
      </c>
      <c r="BA1" t="e">
        <f>AND(Inputs!I4,"AAAAAH3zvTQ=")</f>
        <v>#VALUE!</v>
      </c>
      <c r="BB1" t="e">
        <f>AND(Inputs!J4,"AAAAAH3zvTU=")</f>
        <v>#VALUE!</v>
      </c>
      <c r="BC1" t="e">
        <f>AND(Inputs!K4,"AAAAAH3zvTY=")</f>
        <v>#VALUE!</v>
      </c>
      <c r="BD1" t="e">
        <f>AND(Inputs!L4,"AAAAAH3zvTc=")</f>
        <v>#VALUE!</v>
      </c>
      <c r="BE1">
        <f>IF(Inputs!5:5,"AAAAAH3zvTg=",0)</f>
        <v>0</v>
      </c>
      <c r="BF1" t="e">
        <f>AND(Inputs!A5,"AAAAAH3zvTk=")</f>
        <v>#VALUE!</v>
      </c>
      <c r="BG1" t="e">
        <f>AND(Inputs!#REF!,"AAAAAH3zvTo=")</f>
        <v>#REF!</v>
      </c>
      <c r="BH1" t="e">
        <f>AND(Inputs!B5,"AAAAAH3zvTs=")</f>
        <v>#VALUE!</v>
      </c>
      <c r="BI1" t="e">
        <f>AND(Inputs!C5,"AAAAAH3zvTw=")</f>
        <v>#VALUE!</v>
      </c>
      <c r="BJ1" t="e">
        <f>AND(Inputs!D5,"AAAAAH3zvT0=")</f>
        <v>#VALUE!</v>
      </c>
      <c r="BK1" t="e">
        <f>AND(Inputs!E5,"AAAAAH3zvT4=")</f>
        <v>#VALUE!</v>
      </c>
      <c r="BL1" t="e">
        <f>AND(Inputs!F5,"AAAAAH3zvT8=")</f>
        <v>#VALUE!</v>
      </c>
      <c r="BM1" t="e">
        <f>AND(Inputs!G5,"AAAAAH3zvUA=")</f>
        <v>#VALUE!</v>
      </c>
      <c r="BN1" t="e">
        <f>AND(Inputs!H5,"AAAAAH3zvUE=")</f>
        <v>#VALUE!</v>
      </c>
      <c r="BO1" t="e">
        <f>AND(Inputs!I5,"AAAAAH3zvUI=")</f>
        <v>#VALUE!</v>
      </c>
      <c r="BP1" t="e">
        <f>AND(Inputs!J5,"AAAAAH3zvUM=")</f>
        <v>#VALUE!</v>
      </c>
      <c r="BQ1" t="e">
        <f>AND(Inputs!K5,"AAAAAH3zvUQ=")</f>
        <v>#VALUE!</v>
      </c>
      <c r="BR1" t="e">
        <f>AND(Inputs!L5,"AAAAAH3zvUU=")</f>
        <v>#VALUE!</v>
      </c>
      <c r="BS1" t="e">
        <f>IF(Inputs!#REF!,"AAAAAH3zvUY=",0)</f>
        <v>#REF!</v>
      </c>
      <c r="BT1" t="e">
        <f>AND(Inputs!#REF!,"AAAAAH3zvUc=")</f>
        <v>#REF!</v>
      </c>
      <c r="BU1" t="e">
        <f>AND(Inputs!#REF!,"AAAAAH3zvUg=")</f>
        <v>#REF!</v>
      </c>
      <c r="BV1" t="e">
        <f>AND(Inputs!#REF!,"AAAAAH3zvUk=")</f>
        <v>#REF!</v>
      </c>
      <c r="BW1" t="e">
        <f>AND(Inputs!#REF!,"AAAAAH3zvUo=")</f>
        <v>#REF!</v>
      </c>
      <c r="BX1" t="e">
        <f>AND(Inputs!#REF!,"AAAAAH3zvUs=")</f>
        <v>#REF!</v>
      </c>
      <c r="BY1" t="e">
        <f>AND(Inputs!#REF!,"AAAAAH3zvUw=")</f>
        <v>#REF!</v>
      </c>
      <c r="BZ1" t="e">
        <f>AND(Inputs!#REF!,"AAAAAH3zvU0=")</f>
        <v>#REF!</v>
      </c>
      <c r="CA1" t="e">
        <f>AND(Inputs!#REF!,"AAAAAH3zvU4=")</f>
        <v>#REF!</v>
      </c>
      <c r="CB1" t="e">
        <f>AND(Inputs!#REF!,"AAAAAH3zvU8=")</f>
        <v>#REF!</v>
      </c>
      <c r="CC1" t="e">
        <f>AND(Inputs!#REF!,"AAAAAH3zvVA=")</f>
        <v>#REF!</v>
      </c>
      <c r="CD1" t="e">
        <f>AND(Inputs!#REF!,"AAAAAH3zvVE=")</f>
        <v>#REF!</v>
      </c>
      <c r="CE1" t="e">
        <f>AND(Inputs!#REF!,"AAAAAH3zvVI=")</f>
        <v>#REF!</v>
      </c>
      <c r="CF1" t="e">
        <f>AND(Inputs!#REF!,"AAAAAH3zvVM=")</f>
        <v>#REF!</v>
      </c>
      <c r="CG1">
        <f>IF(Inputs!6:6,"AAAAAH3zvVQ=",0)</f>
        <v>0</v>
      </c>
      <c r="CH1" t="e">
        <f>AND(Inputs!A6,"AAAAAH3zvVU=")</f>
        <v>#VALUE!</v>
      </c>
      <c r="CI1" t="e">
        <f>AND(Inputs!#REF!,"AAAAAH3zvVY=")</f>
        <v>#REF!</v>
      </c>
      <c r="CJ1" t="e">
        <f>AND(Inputs!B6,"AAAAAH3zvVc=")</f>
        <v>#VALUE!</v>
      </c>
      <c r="CK1" t="e">
        <f>AND(Inputs!C6,"AAAAAH3zvVg=")</f>
        <v>#VALUE!</v>
      </c>
      <c r="CL1" t="e">
        <f>AND(Inputs!D6,"AAAAAH3zvVk=")</f>
        <v>#VALUE!</v>
      </c>
      <c r="CM1" t="e">
        <f>AND(Inputs!E6,"AAAAAH3zvVo=")</f>
        <v>#VALUE!</v>
      </c>
      <c r="CN1" t="e">
        <f>AND(Inputs!F6,"AAAAAH3zvVs=")</f>
        <v>#VALUE!</v>
      </c>
      <c r="CO1" t="e">
        <f>AND(Inputs!G6,"AAAAAH3zvVw=")</f>
        <v>#VALUE!</v>
      </c>
      <c r="CP1" t="e">
        <f>AND(Inputs!H6,"AAAAAH3zvV0=")</f>
        <v>#VALUE!</v>
      </c>
      <c r="CQ1" t="e">
        <f>AND(Inputs!I6,"AAAAAH3zvV4=")</f>
        <v>#VALUE!</v>
      </c>
      <c r="CR1" t="e">
        <f>AND(Inputs!J6,"AAAAAH3zvV8=")</f>
        <v>#VALUE!</v>
      </c>
      <c r="CS1" t="e">
        <f>AND(Inputs!K6,"AAAAAH3zvWA=")</f>
        <v>#VALUE!</v>
      </c>
      <c r="CT1" t="e">
        <f>AND(Inputs!L6,"AAAAAH3zvWE=")</f>
        <v>#VALUE!</v>
      </c>
      <c r="CU1">
        <f>IF(Inputs!7:7,"AAAAAH3zvWI=",0)</f>
        <v>0</v>
      </c>
      <c r="CV1" t="e">
        <f>AND(Inputs!A7,"AAAAAH3zvWM=")</f>
        <v>#VALUE!</v>
      </c>
      <c r="CW1" t="e">
        <f>AND(Inputs!#REF!,"AAAAAH3zvWQ=")</f>
        <v>#REF!</v>
      </c>
      <c r="CX1" t="e">
        <f>AND(Inputs!B7,"AAAAAH3zvWU=")</f>
        <v>#VALUE!</v>
      </c>
      <c r="CY1" t="e">
        <f>AND(Inputs!C7,"AAAAAH3zvWY=")</f>
        <v>#VALUE!</v>
      </c>
      <c r="CZ1" t="e">
        <f>AND(Inputs!D7,"AAAAAH3zvWc=")</f>
        <v>#VALUE!</v>
      </c>
      <c r="DA1" t="e">
        <f>AND(Inputs!E7,"AAAAAH3zvWg=")</f>
        <v>#VALUE!</v>
      </c>
      <c r="DB1" t="e">
        <f>AND(Inputs!F7,"AAAAAH3zvWk=")</f>
        <v>#VALUE!</v>
      </c>
      <c r="DC1" t="e">
        <f>AND(Inputs!G7,"AAAAAH3zvWo=")</f>
        <v>#VALUE!</v>
      </c>
      <c r="DD1" t="e">
        <f>AND(Inputs!H7,"AAAAAH3zvWs=")</f>
        <v>#VALUE!</v>
      </c>
      <c r="DE1" t="e">
        <f>AND(Inputs!I7,"AAAAAH3zvWw=")</f>
        <v>#VALUE!</v>
      </c>
      <c r="DF1" t="e">
        <f>AND(Inputs!J7,"AAAAAH3zvW0=")</f>
        <v>#VALUE!</v>
      </c>
      <c r="DG1" t="e">
        <f>AND(Inputs!K7,"AAAAAH3zvW4=")</f>
        <v>#VALUE!</v>
      </c>
      <c r="DH1" t="e">
        <f>AND(Inputs!L7,"AAAAAH3zvW8=")</f>
        <v>#VALUE!</v>
      </c>
      <c r="DI1">
        <f>IF(Inputs!8:8,"AAAAAH3zvXA=",0)</f>
        <v>0</v>
      </c>
      <c r="DJ1" t="e">
        <f>AND(Inputs!A8,"AAAAAH3zvXE=")</f>
        <v>#VALUE!</v>
      </c>
      <c r="DK1" t="e">
        <f>AND(Inputs!#REF!,"AAAAAH3zvXI=")</f>
        <v>#REF!</v>
      </c>
      <c r="DL1" t="e">
        <f>AND(Inputs!B8,"AAAAAH3zvXM=")</f>
        <v>#VALUE!</v>
      </c>
      <c r="DM1" t="e">
        <f>AND(Inputs!C8,"AAAAAH3zvXQ=")</f>
        <v>#VALUE!</v>
      </c>
      <c r="DN1" t="e">
        <f>AND(Inputs!D8,"AAAAAH3zvXU=")</f>
        <v>#VALUE!</v>
      </c>
      <c r="DO1" t="e">
        <f>AND(Inputs!E8,"AAAAAH3zvXY=")</f>
        <v>#VALUE!</v>
      </c>
      <c r="DP1" t="e">
        <f>AND(Inputs!F8,"AAAAAH3zvXc=")</f>
        <v>#VALUE!</v>
      </c>
      <c r="DQ1" t="e">
        <f>AND(Inputs!G8,"AAAAAH3zvXg=")</f>
        <v>#VALUE!</v>
      </c>
      <c r="DR1" t="e">
        <f>AND(Inputs!H8,"AAAAAH3zvXk=")</f>
        <v>#VALUE!</v>
      </c>
      <c r="DS1" t="e">
        <f>AND(Inputs!I8,"AAAAAH3zvXo=")</f>
        <v>#VALUE!</v>
      </c>
      <c r="DT1" t="e">
        <f>AND(Inputs!J8,"AAAAAH3zvXs=")</f>
        <v>#VALUE!</v>
      </c>
      <c r="DU1" t="e">
        <f>AND(Inputs!K8,"AAAAAH3zvXw=")</f>
        <v>#VALUE!</v>
      </c>
      <c r="DV1" t="e">
        <f>AND(Inputs!L8,"AAAAAH3zvX0=")</f>
        <v>#VALUE!</v>
      </c>
      <c r="DW1" t="e">
        <f>IF(Inputs!#REF!,"AAAAAH3zvX4=",0)</f>
        <v>#REF!</v>
      </c>
      <c r="DX1" t="e">
        <f>AND(Inputs!#REF!,"AAAAAH3zvX8=")</f>
        <v>#REF!</v>
      </c>
      <c r="DY1" t="e">
        <f>AND(Inputs!#REF!,"AAAAAH3zvYA=")</f>
        <v>#REF!</v>
      </c>
      <c r="DZ1" t="e">
        <f>AND(Inputs!#REF!,"AAAAAH3zvYE=")</f>
        <v>#REF!</v>
      </c>
      <c r="EA1" t="e">
        <f>AND(Inputs!#REF!,"AAAAAH3zvYI=")</f>
        <v>#REF!</v>
      </c>
      <c r="EB1" t="e">
        <f>AND(Inputs!#REF!,"AAAAAH3zvYM=")</f>
        <v>#REF!</v>
      </c>
      <c r="EC1" t="e">
        <f>AND(Inputs!#REF!,"AAAAAH3zvYQ=")</f>
        <v>#REF!</v>
      </c>
      <c r="ED1" t="e">
        <f>AND(Inputs!#REF!,"AAAAAH3zvYU=")</f>
        <v>#REF!</v>
      </c>
      <c r="EE1" t="e">
        <f>AND(Inputs!#REF!,"AAAAAH3zvYY=")</f>
        <v>#REF!</v>
      </c>
      <c r="EF1" t="e">
        <f>AND(Inputs!#REF!,"AAAAAH3zvYc=")</f>
        <v>#REF!</v>
      </c>
      <c r="EG1" t="e">
        <f>AND(Inputs!#REF!,"AAAAAH3zvYg=")</f>
        <v>#REF!</v>
      </c>
      <c r="EH1" t="e">
        <f>AND(Inputs!#REF!,"AAAAAH3zvYk=")</f>
        <v>#REF!</v>
      </c>
      <c r="EI1" t="e">
        <f>AND(Inputs!#REF!,"AAAAAH3zvYo=")</f>
        <v>#REF!</v>
      </c>
      <c r="EJ1" t="e">
        <f>AND(Inputs!#REF!,"AAAAAH3zvYs=")</f>
        <v>#REF!</v>
      </c>
      <c r="EK1" t="e">
        <f>IF(Inputs!#REF!,"AAAAAH3zvYw=",0)</f>
        <v>#REF!</v>
      </c>
      <c r="EL1" t="e">
        <f>AND(Inputs!#REF!,"AAAAAH3zvY0=")</f>
        <v>#REF!</v>
      </c>
      <c r="EM1" t="e">
        <f>AND(Inputs!#REF!,"AAAAAH3zvY4=")</f>
        <v>#REF!</v>
      </c>
      <c r="EN1" t="e">
        <f>AND(Inputs!#REF!,"AAAAAH3zvY8=")</f>
        <v>#REF!</v>
      </c>
      <c r="EO1" t="e">
        <f>AND(Inputs!#REF!,"AAAAAH3zvZA=")</f>
        <v>#REF!</v>
      </c>
      <c r="EP1" t="e">
        <f>AND(Inputs!#REF!,"AAAAAH3zvZE=")</f>
        <v>#REF!</v>
      </c>
      <c r="EQ1" t="e">
        <f>AND(Inputs!#REF!,"AAAAAH3zvZI=")</f>
        <v>#REF!</v>
      </c>
      <c r="ER1" t="e">
        <f>AND(Inputs!#REF!,"AAAAAH3zvZM=")</f>
        <v>#REF!</v>
      </c>
      <c r="ES1" t="e">
        <f>AND(Inputs!#REF!,"AAAAAH3zvZQ=")</f>
        <v>#REF!</v>
      </c>
      <c r="ET1" t="e">
        <f>AND(Inputs!#REF!,"AAAAAH3zvZU=")</f>
        <v>#REF!</v>
      </c>
      <c r="EU1" t="e">
        <f>AND(Inputs!#REF!,"AAAAAH3zvZY=")</f>
        <v>#REF!</v>
      </c>
      <c r="EV1" t="e">
        <f>AND(Inputs!#REF!,"AAAAAH3zvZc=")</f>
        <v>#REF!</v>
      </c>
      <c r="EW1" t="e">
        <f>AND(Inputs!#REF!,"AAAAAH3zvZg=")</f>
        <v>#REF!</v>
      </c>
      <c r="EX1" t="e">
        <f>AND(Inputs!#REF!,"AAAAAH3zvZk=")</f>
        <v>#REF!</v>
      </c>
      <c r="EY1" t="e">
        <f>IF(Inputs!#REF!,"AAAAAH3zvZo=",0)</f>
        <v>#REF!</v>
      </c>
      <c r="EZ1" t="e">
        <f>AND(Inputs!#REF!,"AAAAAH3zvZs=")</f>
        <v>#REF!</v>
      </c>
      <c r="FA1" t="e">
        <f>AND(Inputs!#REF!,"AAAAAH3zvZw=")</f>
        <v>#REF!</v>
      </c>
      <c r="FB1" t="e">
        <f>AND(Inputs!#REF!,"AAAAAH3zvZ0=")</f>
        <v>#REF!</v>
      </c>
      <c r="FC1" t="e">
        <f>AND(Inputs!#REF!,"AAAAAH3zvZ4=")</f>
        <v>#REF!</v>
      </c>
      <c r="FD1" t="e">
        <f>AND(Inputs!#REF!,"AAAAAH3zvZ8=")</f>
        <v>#REF!</v>
      </c>
      <c r="FE1" t="e">
        <f>AND(Inputs!#REF!,"AAAAAH3zvaA=")</f>
        <v>#REF!</v>
      </c>
      <c r="FF1" t="e">
        <f>AND(Inputs!#REF!,"AAAAAH3zvaE=")</f>
        <v>#REF!</v>
      </c>
      <c r="FG1" t="e">
        <f>AND(Inputs!#REF!,"AAAAAH3zvaI=")</f>
        <v>#REF!</v>
      </c>
      <c r="FH1" t="e">
        <f>AND(Inputs!#REF!,"AAAAAH3zvaM=")</f>
        <v>#REF!</v>
      </c>
      <c r="FI1" t="e">
        <f>AND(Inputs!#REF!,"AAAAAH3zvaQ=")</f>
        <v>#REF!</v>
      </c>
      <c r="FJ1" t="e">
        <f>AND(Inputs!#REF!,"AAAAAH3zvaU=")</f>
        <v>#REF!</v>
      </c>
      <c r="FK1" t="e">
        <f>AND(Inputs!#REF!,"AAAAAH3zvaY=")</f>
        <v>#REF!</v>
      </c>
      <c r="FL1" t="e">
        <f>AND(Inputs!#REF!,"AAAAAH3zvac=")</f>
        <v>#REF!</v>
      </c>
      <c r="FM1" t="e">
        <f>IF(Inputs!#REF!,"AAAAAH3zvag=",0)</f>
        <v>#REF!</v>
      </c>
      <c r="FN1" t="e">
        <f>AND(Inputs!#REF!,"AAAAAH3zvak=")</f>
        <v>#REF!</v>
      </c>
      <c r="FO1" t="e">
        <f>AND(Inputs!#REF!,"AAAAAH3zvao=")</f>
        <v>#REF!</v>
      </c>
      <c r="FP1" t="e">
        <f>AND(Inputs!#REF!,"AAAAAH3zvas=")</f>
        <v>#REF!</v>
      </c>
      <c r="FQ1" t="e">
        <f>AND(Inputs!#REF!,"AAAAAH3zvaw=")</f>
        <v>#REF!</v>
      </c>
      <c r="FR1" t="e">
        <f>AND(Inputs!#REF!,"AAAAAH3zva0=")</f>
        <v>#REF!</v>
      </c>
      <c r="FS1" t="e">
        <f>AND(Inputs!#REF!,"AAAAAH3zva4=")</f>
        <v>#REF!</v>
      </c>
      <c r="FT1" t="e">
        <f>AND(Inputs!#REF!,"AAAAAH3zva8=")</f>
        <v>#REF!</v>
      </c>
      <c r="FU1" t="e">
        <f>AND(Inputs!#REF!,"AAAAAH3zvbA=")</f>
        <v>#REF!</v>
      </c>
      <c r="FV1" t="e">
        <f>AND(Inputs!#REF!,"AAAAAH3zvbE=")</f>
        <v>#REF!</v>
      </c>
      <c r="FW1" t="e">
        <f>AND(Inputs!#REF!,"AAAAAH3zvbI=")</f>
        <v>#REF!</v>
      </c>
      <c r="FX1" t="e">
        <f>AND(Inputs!#REF!,"AAAAAH3zvbM=")</f>
        <v>#REF!</v>
      </c>
      <c r="FY1" t="e">
        <f>AND(Inputs!#REF!,"AAAAAH3zvbQ=")</f>
        <v>#REF!</v>
      </c>
      <c r="FZ1" t="e">
        <f>AND(Inputs!#REF!,"AAAAAH3zvbU=")</f>
        <v>#REF!</v>
      </c>
      <c r="GA1">
        <f>IF(Inputs!9:9,"AAAAAH3zvbY=",0)</f>
        <v>0</v>
      </c>
      <c r="GB1" t="e">
        <f>AND(Inputs!A9,"AAAAAH3zvbc=")</f>
        <v>#VALUE!</v>
      </c>
      <c r="GC1" t="e">
        <f>AND(Inputs!#REF!,"AAAAAH3zvbg=")</f>
        <v>#REF!</v>
      </c>
      <c r="GD1" t="e">
        <f>AND(Inputs!B9,"AAAAAH3zvbk=")</f>
        <v>#VALUE!</v>
      </c>
      <c r="GE1" t="e">
        <f>AND(Inputs!C9,"AAAAAH3zvbo=")</f>
        <v>#VALUE!</v>
      </c>
      <c r="GF1" t="e">
        <f>AND(Inputs!D9,"AAAAAH3zvbs=")</f>
        <v>#VALUE!</v>
      </c>
      <c r="GG1" t="e">
        <f>AND(Inputs!E9,"AAAAAH3zvbw=")</f>
        <v>#VALUE!</v>
      </c>
      <c r="GH1" t="e">
        <f>AND(Inputs!F9,"AAAAAH3zvb0=")</f>
        <v>#VALUE!</v>
      </c>
      <c r="GI1" t="e">
        <f>AND(Inputs!G9,"AAAAAH3zvb4=")</f>
        <v>#VALUE!</v>
      </c>
      <c r="GJ1" t="e">
        <f>AND(Inputs!H9,"AAAAAH3zvb8=")</f>
        <v>#VALUE!</v>
      </c>
      <c r="GK1" t="e">
        <f>AND(Inputs!I9,"AAAAAH3zvcA=")</f>
        <v>#VALUE!</v>
      </c>
      <c r="GL1" t="e">
        <f>AND(Inputs!J9,"AAAAAH3zvcE=")</f>
        <v>#VALUE!</v>
      </c>
      <c r="GM1" t="e">
        <f>AND(Inputs!K9,"AAAAAH3zvcI=")</f>
        <v>#VALUE!</v>
      </c>
      <c r="GN1" t="e">
        <f>AND(Inputs!L9,"AAAAAH3zvcM=")</f>
        <v>#VALUE!</v>
      </c>
      <c r="GO1" t="e">
        <f>IF(Inputs!#REF!,"AAAAAH3zvcQ=",0)</f>
        <v>#REF!</v>
      </c>
      <c r="GP1" t="e">
        <f>AND(Inputs!#REF!,"AAAAAH3zvcU=")</f>
        <v>#REF!</v>
      </c>
      <c r="GQ1" t="e">
        <f>AND(Inputs!#REF!,"AAAAAH3zvcY=")</f>
        <v>#REF!</v>
      </c>
      <c r="GR1" t="e">
        <f>AND(Inputs!#REF!,"AAAAAH3zvcc=")</f>
        <v>#REF!</v>
      </c>
      <c r="GS1" t="e">
        <f>AND(Inputs!#REF!,"AAAAAH3zvcg=")</f>
        <v>#REF!</v>
      </c>
      <c r="GT1" t="e">
        <f>AND(Inputs!#REF!,"AAAAAH3zvck=")</f>
        <v>#REF!</v>
      </c>
      <c r="GU1" t="e">
        <f>AND(Inputs!#REF!,"AAAAAH3zvco=")</f>
        <v>#REF!</v>
      </c>
      <c r="GV1" t="e">
        <f>AND(Inputs!#REF!,"AAAAAH3zvcs=")</f>
        <v>#REF!</v>
      </c>
      <c r="GW1" t="e">
        <f>AND(Inputs!#REF!,"AAAAAH3zvcw=")</f>
        <v>#REF!</v>
      </c>
      <c r="GX1" t="e">
        <f>AND(Inputs!#REF!,"AAAAAH3zvc0=")</f>
        <v>#REF!</v>
      </c>
      <c r="GY1" t="e">
        <f>AND(Inputs!#REF!,"AAAAAH3zvc4=")</f>
        <v>#REF!</v>
      </c>
      <c r="GZ1" t="e">
        <f>AND(Inputs!#REF!,"AAAAAH3zvc8=")</f>
        <v>#REF!</v>
      </c>
      <c r="HA1" t="e">
        <f>AND(Inputs!#REF!,"AAAAAH3zvdA=")</f>
        <v>#REF!</v>
      </c>
      <c r="HB1" t="e">
        <f>AND(Inputs!#REF!,"AAAAAH3zvdE=")</f>
        <v>#REF!</v>
      </c>
      <c r="HC1" t="e">
        <f>IF(Inputs!#REF!,"AAAAAH3zvdI=",0)</f>
        <v>#REF!</v>
      </c>
      <c r="HD1" t="e">
        <f>AND(Inputs!#REF!,"AAAAAH3zvdM=")</f>
        <v>#REF!</v>
      </c>
      <c r="HE1" t="e">
        <f>AND(Inputs!#REF!,"AAAAAH3zvdQ=")</f>
        <v>#REF!</v>
      </c>
      <c r="HF1" t="e">
        <f>AND(Inputs!#REF!,"AAAAAH3zvdU=")</f>
        <v>#REF!</v>
      </c>
      <c r="HG1" t="e">
        <f>AND(Inputs!#REF!,"AAAAAH3zvdY=")</f>
        <v>#REF!</v>
      </c>
      <c r="HH1" t="e">
        <f>AND(Inputs!#REF!,"AAAAAH3zvdc=")</f>
        <v>#REF!</v>
      </c>
      <c r="HI1" t="e">
        <f>AND(Inputs!#REF!,"AAAAAH3zvdg=")</f>
        <v>#REF!</v>
      </c>
      <c r="HJ1" t="e">
        <f>AND(Inputs!#REF!,"AAAAAH3zvdk=")</f>
        <v>#REF!</v>
      </c>
      <c r="HK1" t="e">
        <f>AND(Inputs!#REF!,"AAAAAH3zvdo=")</f>
        <v>#REF!</v>
      </c>
      <c r="HL1" t="e">
        <f>AND(Inputs!#REF!,"AAAAAH3zvds=")</f>
        <v>#REF!</v>
      </c>
      <c r="HM1" t="e">
        <f>AND(Inputs!#REF!,"AAAAAH3zvdw=")</f>
        <v>#REF!</v>
      </c>
      <c r="HN1" t="e">
        <f>AND(Inputs!#REF!,"AAAAAH3zvd0=")</f>
        <v>#REF!</v>
      </c>
      <c r="HO1" t="e">
        <f>AND(Inputs!#REF!,"AAAAAH3zvd4=")</f>
        <v>#REF!</v>
      </c>
      <c r="HP1" t="e">
        <f>AND(Inputs!#REF!,"AAAAAH3zvd8=")</f>
        <v>#REF!</v>
      </c>
      <c r="HQ1" t="e">
        <f>IF(Inputs!#REF!,"AAAAAH3zveA=",0)</f>
        <v>#REF!</v>
      </c>
      <c r="HR1" t="e">
        <f>AND(Inputs!#REF!,"AAAAAH3zveE=")</f>
        <v>#REF!</v>
      </c>
      <c r="HS1" t="e">
        <f>AND(Inputs!#REF!,"AAAAAH3zveI=")</f>
        <v>#REF!</v>
      </c>
      <c r="HT1" t="e">
        <f>AND(Inputs!#REF!,"AAAAAH3zveM=")</f>
        <v>#REF!</v>
      </c>
      <c r="HU1" t="e">
        <f>AND(Inputs!#REF!,"AAAAAH3zveQ=")</f>
        <v>#REF!</v>
      </c>
      <c r="HV1" t="e">
        <f>AND(Inputs!#REF!,"AAAAAH3zveU=")</f>
        <v>#REF!</v>
      </c>
      <c r="HW1" t="e">
        <f>AND(Inputs!#REF!,"AAAAAH3zveY=")</f>
        <v>#REF!</v>
      </c>
      <c r="HX1" t="e">
        <f>AND(Inputs!#REF!,"AAAAAH3zvec=")</f>
        <v>#REF!</v>
      </c>
      <c r="HY1" t="e">
        <f>AND(Inputs!#REF!,"AAAAAH3zveg=")</f>
        <v>#REF!</v>
      </c>
      <c r="HZ1" t="e">
        <f>AND(Inputs!#REF!,"AAAAAH3zvek=")</f>
        <v>#REF!</v>
      </c>
      <c r="IA1" t="e">
        <f>AND(Inputs!#REF!,"AAAAAH3zveo=")</f>
        <v>#REF!</v>
      </c>
      <c r="IB1" t="e">
        <f>AND(Inputs!#REF!,"AAAAAH3zves=")</f>
        <v>#REF!</v>
      </c>
      <c r="IC1" t="e">
        <f>AND(Inputs!#REF!,"AAAAAH3zvew=")</f>
        <v>#REF!</v>
      </c>
      <c r="ID1" t="e">
        <f>AND(Inputs!#REF!,"AAAAAH3zve0=")</f>
        <v>#REF!</v>
      </c>
      <c r="IE1" t="e">
        <f>IF(Inputs!#REF!,"AAAAAH3zve4=",0)</f>
        <v>#REF!</v>
      </c>
      <c r="IF1" t="e">
        <f>AND(Inputs!#REF!,"AAAAAH3zve8=")</f>
        <v>#REF!</v>
      </c>
      <c r="IG1" t="e">
        <f>AND(Inputs!#REF!,"AAAAAH3zvfA=")</f>
        <v>#REF!</v>
      </c>
      <c r="IH1" t="e">
        <f>AND(Inputs!#REF!,"AAAAAH3zvfE=")</f>
        <v>#REF!</v>
      </c>
      <c r="II1" t="e">
        <f>AND(Inputs!#REF!,"AAAAAH3zvfI=")</f>
        <v>#REF!</v>
      </c>
      <c r="IJ1" t="e">
        <f>AND(Inputs!#REF!,"AAAAAH3zvfM=")</f>
        <v>#REF!</v>
      </c>
      <c r="IK1" t="e">
        <f>AND(Inputs!#REF!,"AAAAAH3zvfQ=")</f>
        <v>#REF!</v>
      </c>
      <c r="IL1" t="e">
        <f>AND(Inputs!#REF!,"AAAAAH3zvfU=")</f>
        <v>#REF!</v>
      </c>
      <c r="IM1" t="e">
        <f>AND(Inputs!#REF!,"AAAAAH3zvfY=")</f>
        <v>#REF!</v>
      </c>
      <c r="IN1" t="e">
        <f>AND(Inputs!#REF!,"AAAAAH3zvfc=")</f>
        <v>#REF!</v>
      </c>
      <c r="IO1" t="e">
        <f>AND(Inputs!#REF!,"AAAAAH3zvfg=")</f>
        <v>#REF!</v>
      </c>
      <c r="IP1" t="e">
        <f>AND(Inputs!#REF!,"AAAAAH3zvfk=")</f>
        <v>#REF!</v>
      </c>
      <c r="IQ1" t="e">
        <f>AND(Inputs!#REF!,"AAAAAH3zvfo=")</f>
        <v>#REF!</v>
      </c>
      <c r="IR1" t="e">
        <f>AND(Inputs!#REF!,"AAAAAH3zvfs=")</f>
        <v>#REF!</v>
      </c>
      <c r="IS1" t="e">
        <f>IF(Inputs!#REF!,"AAAAAH3zvfw=",0)</f>
        <v>#REF!</v>
      </c>
      <c r="IT1" t="e">
        <f>AND(Inputs!#REF!,"AAAAAH3zvf0=")</f>
        <v>#REF!</v>
      </c>
      <c r="IU1" t="e">
        <f>AND(Inputs!#REF!,"AAAAAH3zvf4=")</f>
        <v>#REF!</v>
      </c>
      <c r="IV1" t="e">
        <f>AND(Inputs!#REF!,"AAAAAH3zvf8=")</f>
        <v>#REF!</v>
      </c>
    </row>
    <row r="2" spans="1:256">
      <c r="A2" t="e">
        <f>AND(Inputs!#REF!,"AAAAADvfbwA=")</f>
        <v>#REF!</v>
      </c>
      <c r="B2" t="e">
        <f>AND(Inputs!#REF!,"AAAAADvfbwE=")</f>
        <v>#REF!</v>
      </c>
      <c r="C2" t="e">
        <f>AND(Inputs!#REF!,"AAAAADvfbwI=")</f>
        <v>#REF!</v>
      </c>
      <c r="D2" t="e">
        <f>AND(Inputs!#REF!,"AAAAADvfbwM=")</f>
        <v>#REF!</v>
      </c>
      <c r="E2" t="e">
        <f>AND(Inputs!#REF!,"AAAAADvfbwQ=")</f>
        <v>#REF!</v>
      </c>
      <c r="F2" t="e">
        <f>AND(Inputs!#REF!,"AAAAADvfbwU=")</f>
        <v>#REF!</v>
      </c>
      <c r="G2" t="e">
        <f>AND(Inputs!#REF!,"AAAAADvfbwY=")</f>
        <v>#REF!</v>
      </c>
      <c r="H2" t="e">
        <f>AND(Inputs!#REF!,"AAAAADvfbwc=")</f>
        <v>#REF!</v>
      </c>
      <c r="I2" t="e">
        <f>AND(Inputs!#REF!,"AAAAADvfbwg=")</f>
        <v>#REF!</v>
      </c>
      <c r="J2" t="e">
        <f>AND(Inputs!#REF!,"AAAAADvfbwk=")</f>
        <v>#REF!</v>
      </c>
      <c r="K2" t="e">
        <f>IF(Inputs!#REF!,"AAAAADvfbwo=",0)</f>
        <v>#REF!</v>
      </c>
      <c r="L2" t="e">
        <f>AND(Inputs!#REF!,"AAAAADvfbws=")</f>
        <v>#REF!</v>
      </c>
      <c r="M2" t="e">
        <f>AND(Inputs!#REF!,"AAAAADvfbww=")</f>
        <v>#REF!</v>
      </c>
      <c r="N2" t="e">
        <f>AND(Inputs!#REF!,"AAAAADvfbw0=")</f>
        <v>#REF!</v>
      </c>
      <c r="O2" t="e">
        <f>AND(Inputs!#REF!,"AAAAADvfbw4=")</f>
        <v>#REF!</v>
      </c>
      <c r="P2" t="e">
        <f>AND(Inputs!#REF!,"AAAAADvfbw8=")</f>
        <v>#REF!</v>
      </c>
      <c r="Q2" t="e">
        <f>AND(Inputs!#REF!,"AAAAADvfbxA=")</f>
        <v>#REF!</v>
      </c>
      <c r="R2" t="e">
        <f>AND(Inputs!#REF!,"AAAAADvfbxE=")</f>
        <v>#REF!</v>
      </c>
      <c r="S2" t="e">
        <f>AND(Inputs!#REF!,"AAAAADvfbxI=")</f>
        <v>#REF!</v>
      </c>
      <c r="T2" t="e">
        <f>AND(Inputs!#REF!,"AAAAADvfbxM=")</f>
        <v>#REF!</v>
      </c>
      <c r="U2" t="e">
        <f>AND(Inputs!#REF!,"AAAAADvfbxQ=")</f>
        <v>#REF!</v>
      </c>
      <c r="V2" t="e">
        <f>AND(Inputs!#REF!,"AAAAADvfbxU=")</f>
        <v>#REF!</v>
      </c>
      <c r="W2" t="e">
        <f>AND(Inputs!#REF!,"AAAAADvfbxY=")</f>
        <v>#REF!</v>
      </c>
      <c r="X2" t="e">
        <f>AND(Inputs!#REF!,"AAAAADvfbxc=")</f>
        <v>#REF!</v>
      </c>
      <c r="Y2" t="e">
        <f>IF(Inputs!#REF!,"AAAAADvfbxg=",0)</f>
        <v>#REF!</v>
      </c>
      <c r="Z2" t="e">
        <f>AND(Inputs!#REF!,"AAAAADvfbxk=")</f>
        <v>#REF!</v>
      </c>
      <c r="AA2" t="e">
        <f>AND(Inputs!#REF!,"AAAAADvfbxo=")</f>
        <v>#REF!</v>
      </c>
      <c r="AB2" t="e">
        <f>AND(Calculations!#REF!,"AAAAADvfbxs=")</f>
        <v>#REF!</v>
      </c>
      <c r="AC2" t="e">
        <f>AND(Calculations!#REF!,"AAAAADvfbxw=")</f>
        <v>#REF!</v>
      </c>
      <c r="AD2" t="e">
        <f>AND(Calculations!#REF!,"AAAAADvfbx0=")</f>
        <v>#REF!</v>
      </c>
      <c r="AE2" t="e">
        <f>AND(Calculations!#REF!,"AAAAADvfbx4=")</f>
        <v>#REF!</v>
      </c>
      <c r="AF2" t="e">
        <f>AND(Inputs!#REF!,"AAAAADvfbx8=")</f>
        <v>#REF!</v>
      </c>
      <c r="AG2" t="e">
        <f>AND(Inputs!#REF!,"AAAAADvfbyA=")</f>
        <v>#REF!</v>
      </c>
      <c r="AH2" t="e">
        <f>AND(Inputs!#REF!,"AAAAADvfbyE=")</f>
        <v>#REF!</v>
      </c>
      <c r="AI2" t="e">
        <f>AND(Inputs!#REF!,"AAAAADvfbyI=")</f>
        <v>#REF!</v>
      </c>
      <c r="AJ2" t="e">
        <f>AND(Inputs!#REF!,"AAAAADvfbyM=")</f>
        <v>#REF!</v>
      </c>
      <c r="AK2" t="e">
        <f>AND(Inputs!#REF!,"AAAAADvfbyQ=")</f>
        <v>#REF!</v>
      </c>
      <c r="AL2" t="e">
        <f>AND(Inputs!#REF!,"AAAAADvfbyU=")</f>
        <v>#REF!</v>
      </c>
      <c r="AM2" t="e">
        <f>IF(Inputs!#REF!,"AAAAADvfbyY=",0)</f>
        <v>#REF!</v>
      </c>
      <c r="AN2" t="e">
        <f>AND(Inputs!#REF!,"AAAAADvfbyc=")</f>
        <v>#REF!</v>
      </c>
      <c r="AO2" t="e">
        <f>AND(Inputs!#REF!,"AAAAADvfbyg=")</f>
        <v>#REF!</v>
      </c>
      <c r="AP2" t="e">
        <f>AND(Inputs!#REF!,"AAAAADvfbyk=")</f>
        <v>#REF!</v>
      </c>
      <c r="AQ2" t="e">
        <f>AND(Inputs!#REF!,"AAAAADvfbyo=")</f>
        <v>#REF!</v>
      </c>
      <c r="AR2" t="e">
        <f>AND(Inputs!#REF!,"AAAAADvfbys=")</f>
        <v>#REF!</v>
      </c>
      <c r="AS2" t="e">
        <f>AND(Inputs!#REF!,"AAAAADvfbyw=")</f>
        <v>#REF!</v>
      </c>
      <c r="AT2" t="e">
        <f>AND(Inputs!#REF!,"AAAAADvfby0=")</f>
        <v>#REF!</v>
      </c>
      <c r="AU2" t="e">
        <f>AND(Inputs!#REF!,"AAAAADvfby4=")</f>
        <v>#REF!</v>
      </c>
      <c r="AV2" t="e">
        <f>AND(Inputs!#REF!,"AAAAADvfby8=")</f>
        <v>#REF!</v>
      </c>
      <c r="AW2" t="e">
        <f>AND(Inputs!#REF!,"AAAAADvfbzA=")</f>
        <v>#REF!</v>
      </c>
      <c r="AX2" t="e">
        <f>AND(Inputs!#REF!,"AAAAADvfbzE=")</f>
        <v>#REF!</v>
      </c>
      <c r="AY2" t="e">
        <f>AND(Inputs!#REF!,"AAAAADvfbzI=")</f>
        <v>#REF!</v>
      </c>
      <c r="AZ2" t="e">
        <f>AND(Inputs!#REF!,"AAAAADvfbzM=")</f>
        <v>#REF!</v>
      </c>
      <c r="BA2" t="e">
        <f>IF(Inputs!#REF!,"AAAAADvfbzQ=",0)</f>
        <v>#REF!</v>
      </c>
      <c r="BB2" t="e">
        <f>AND(Inputs!#REF!,"AAAAADvfbzU=")</f>
        <v>#REF!</v>
      </c>
      <c r="BC2" t="e">
        <f>AND(Inputs!#REF!,"AAAAADvfbzY=")</f>
        <v>#REF!</v>
      </c>
      <c r="BD2" t="e">
        <f>AND(Inputs!#REF!,"AAAAADvfbzc=")</f>
        <v>#REF!</v>
      </c>
      <c r="BE2" t="e">
        <f>AND(Inputs!#REF!,"AAAAADvfbzg=")</f>
        <v>#REF!</v>
      </c>
      <c r="BF2" t="e">
        <f>AND(Inputs!#REF!,"AAAAADvfbzk=")</f>
        <v>#REF!</v>
      </c>
      <c r="BG2" t="e">
        <f>AND(Inputs!#REF!,"AAAAADvfbzo=")</f>
        <v>#REF!</v>
      </c>
      <c r="BH2" t="e">
        <f>AND(Inputs!#REF!,"AAAAADvfbzs=")</f>
        <v>#REF!</v>
      </c>
      <c r="BI2" t="e">
        <f>AND(Inputs!#REF!,"AAAAADvfbzw=")</f>
        <v>#REF!</v>
      </c>
      <c r="BJ2" t="e">
        <f>AND(Inputs!#REF!,"AAAAADvfbz0=")</f>
        <v>#REF!</v>
      </c>
      <c r="BK2" t="e">
        <f>AND(Inputs!#REF!,"AAAAADvfbz4=")</f>
        <v>#REF!</v>
      </c>
      <c r="BL2" t="e">
        <f>AND(Inputs!#REF!,"AAAAADvfbz8=")</f>
        <v>#REF!</v>
      </c>
      <c r="BM2" t="e">
        <f>AND(Inputs!#REF!,"AAAAADvfb0A=")</f>
        <v>#REF!</v>
      </c>
      <c r="BN2" t="e">
        <f>AND(Inputs!#REF!,"AAAAADvfb0E=")</f>
        <v>#REF!</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t="e">
        <f>IF(Inputs!#REF!,"AAAAADvfb3o=",0)</f>
        <v>#REF!</v>
      </c>
      <c r="DT2" t="e">
        <f>AND(Inputs!#REF!,"AAAAADvfb3s=")</f>
        <v>#REF!</v>
      </c>
      <c r="DU2" t="e">
        <f>AND(Inputs!#REF!,"AAAAADvfb3w=")</f>
        <v>#REF!</v>
      </c>
      <c r="DV2" t="e">
        <f>AND(Inputs!#REF!,"AAAAADvfb30=")</f>
        <v>#REF!</v>
      </c>
      <c r="DW2" t="e">
        <f>AND(Inputs!#REF!,"AAAAADvfb34=")</f>
        <v>#REF!</v>
      </c>
      <c r="DX2" t="e">
        <f>AND(Inputs!#REF!,"AAAAADvfb38=")</f>
        <v>#REF!</v>
      </c>
      <c r="DY2" t="e">
        <f>AND(Inputs!#REF!,"AAAAADvfb4A=")</f>
        <v>#REF!</v>
      </c>
      <c r="DZ2" t="e">
        <f>AND(Inputs!#REF!,"AAAAADvfb4E=")</f>
        <v>#REF!</v>
      </c>
      <c r="EA2" t="e">
        <f>AND(Inputs!#REF!,"AAAAADvfb4I=")</f>
        <v>#REF!</v>
      </c>
      <c r="EB2" t="e">
        <f>AND(Inputs!#REF!,"AAAAADvfb4M=")</f>
        <v>#REF!</v>
      </c>
      <c r="EC2" t="e">
        <f>AND(Inputs!#REF!,"AAAAADvfb4Q=")</f>
        <v>#REF!</v>
      </c>
      <c r="ED2" t="e">
        <f>AND(Inputs!#REF!,"AAAAADvfb4U=")</f>
        <v>#REF!</v>
      </c>
      <c r="EE2" t="e">
        <f>AND(Inputs!#REF!,"AAAAADvfb4Y=")</f>
        <v>#REF!</v>
      </c>
      <c r="EF2" t="e">
        <f>AND(Inputs!#REF!,"AAAAADvfb4c=")</f>
        <v>#REF!</v>
      </c>
      <c r="EG2" t="e">
        <f>IF(Inputs!#REF!,"AAAAADvfb4g=",0)</f>
        <v>#REF!</v>
      </c>
      <c r="EH2" t="e">
        <f>AND(Inputs!#REF!,"AAAAADvfb4k=")</f>
        <v>#REF!</v>
      </c>
      <c r="EI2" t="e">
        <f>AND(Inputs!#REF!,"AAAAADvfb4o=")</f>
        <v>#REF!</v>
      </c>
      <c r="EJ2" t="e">
        <f>AND(Inputs!#REF!,"AAAAADvfb4s=")</f>
        <v>#REF!</v>
      </c>
      <c r="EK2" t="e">
        <f>AND(Inputs!#REF!,"AAAAADvfb4w=")</f>
        <v>#REF!</v>
      </c>
      <c r="EL2" t="e">
        <f>AND(Inputs!#REF!,"AAAAADvfb40=")</f>
        <v>#REF!</v>
      </c>
      <c r="EM2" t="e">
        <f>AND(Inputs!#REF!,"AAAAADvfb44=")</f>
        <v>#REF!</v>
      </c>
      <c r="EN2" t="e">
        <f>AND(Inputs!#REF!,"AAAAADvfb48=")</f>
        <v>#REF!</v>
      </c>
      <c r="EO2" t="e">
        <f>AND(Inputs!#REF!,"AAAAADvfb5A=")</f>
        <v>#REF!</v>
      </c>
      <c r="EP2" t="e">
        <f>AND(Inputs!#REF!,"AAAAADvfb5E=")</f>
        <v>#REF!</v>
      </c>
      <c r="EQ2" t="e">
        <f>AND(Inputs!#REF!,"AAAAADvfb5I=")</f>
        <v>#REF!</v>
      </c>
      <c r="ER2" t="e">
        <f>AND(Inputs!#REF!,"AAAAADvfb5M=")</f>
        <v>#REF!</v>
      </c>
      <c r="ES2" t="e">
        <f>AND(Inputs!#REF!,"AAAAADvfb5Q=")</f>
        <v>#REF!</v>
      </c>
      <c r="ET2" t="e">
        <f>AND(Inputs!#REF!,"AAAAADvfb5U=")</f>
        <v>#REF!</v>
      </c>
      <c r="EU2" t="e">
        <f>IF(Inputs!#REF!,"AAAAADvfb5Y=",0)</f>
        <v>#REF!</v>
      </c>
      <c r="EV2" t="e">
        <f>AND(Inputs!#REF!,"AAAAADvfb5c=")</f>
        <v>#REF!</v>
      </c>
      <c r="EW2" t="e">
        <f>AND(Inputs!#REF!,"AAAAADvfb5g=")</f>
        <v>#REF!</v>
      </c>
      <c r="EX2" t="e">
        <f>AND(Inputs!#REF!,"AAAAADvfb5k=")</f>
        <v>#REF!</v>
      </c>
      <c r="EY2" t="e">
        <f>AND(Inputs!#REF!,"AAAAADvfb5o=")</f>
        <v>#REF!</v>
      </c>
      <c r="EZ2" t="e">
        <f>AND(Inputs!#REF!,"AAAAADvfb5s=")</f>
        <v>#REF!</v>
      </c>
      <c r="FA2" t="e">
        <f>AND(Inputs!#REF!,"AAAAADvfb5w=")</f>
        <v>#REF!</v>
      </c>
      <c r="FB2" t="e">
        <f>AND(Inputs!#REF!,"AAAAADvfb50=")</f>
        <v>#REF!</v>
      </c>
      <c r="FC2" t="e">
        <f>AND(Inputs!#REF!,"AAAAADvfb54=")</f>
        <v>#REF!</v>
      </c>
      <c r="FD2" t="e">
        <f>AND(Inputs!#REF!,"AAAAADvfb58=")</f>
        <v>#REF!</v>
      </c>
      <c r="FE2" t="e">
        <f>AND(Inputs!#REF!,"AAAAADvfb6A=")</f>
        <v>#REF!</v>
      </c>
      <c r="FF2" t="e">
        <f>AND(Inputs!#REF!,"AAAAADvfb6E=")</f>
        <v>#REF!</v>
      </c>
      <c r="FG2" t="e">
        <f>AND(Inputs!#REF!,"AAAAADvfb6I=")</f>
        <v>#REF!</v>
      </c>
      <c r="FH2" t="e">
        <f>AND(Inputs!#REF!,"AAAAADvfb6M=")</f>
        <v>#REF!</v>
      </c>
      <c r="FI2" t="e">
        <f>IF(Inputs!#REF!,"AAAAADvfb6Q=",0)</f>
        <v>#REF!</v>
      </c>
      <c r="FJ2" t="e">
        <f>AND(Inputs!#REF!,"AAAAADvfb6U=")</f>
        <v>#REF!</v>
      </c>
      <c r="FK2" t="e">
        <f>AND(Inputs!#REF!,"AAAAADvfb6Y=")</f>
        <v>#REF!</v>
      </c>
      <c r="FL2" t="e">
        <f>AND(Inputs!#REF!,"AAAAADvfb6c=")</f>
        <v>#REF!</v>
      </c>
      <c r="FM2" t="e">
        <f>AND(Inputs!#REF!,"AAAAADvfb6g=")</f>
        <v>#REF!</v>
      </c>
      <c r="FN2" t="e">
        <f>AND(Inputs!#REF!,"AAAAADvfb6k=")</f>
        <v>#REF!</v>
      </c>
      <c r="FO2" t="e">
        <f>AND(Inputs!#REF!,"AAAAADvfb6o=")</f>
        <v>#REF!</v>
      </c>
      <c r="FP2" t="e">
        <f>AND(Inputs!#REF!,"AAAAADvfb6s=")</f>
        <v>#REF!</v>
      </c>
      <c r="FQ2" t="e">
        <f>AND(Inputs!#REF!,"AAAAADvfb6w=")</f>
        <v>#REF!</v>
      </c>
      <c r="FR2" t="e">
        <f>AND(Inputs!#REF!,"AAAAADvfb60=")</f>
        <v>#REF!</v>
      </c>
      <c r="FS2" t="e">
        <f>AND(Inputs!#REF!,"AAAAADvfb64=")</f>
        <v>#REF!</v>
      </c>
      <c r="FT2" t="e">
        <f>AND(Inputs!#REF!,"AAAAADvfb68=")</f>
        <v>#REF!</v>
      </c>
      <c r="FU2" t="e">
        <f>AND(Inputs!#REF!,"AAAAADvfb7A=")</f>
        <v>#REF!</v>
      </c>
      <c r="FV2" t="e">
        <f>AND(Inputs!#REF!,"AAAAADvfb7E=")</f>
        <v>#REF!</v>
      </c>
      <c r="FW2" t="e">
        <f>IF(Inputs!#REF!,"AAAAADvfb7I=",0)</f>
        <v>#REF!</v>
      </c>
      <c r="FX2" t="e">
        <f>AND(Inputs!#REF!,"AAAAADvfb7M=")</f>
        <v>#REF!</v>
      </c>
      <c r="FY2" t="e">
        <f>AND(Inputs!#REF!,"AAAAADvfb7Q=")</f>
        <v>#REF!</v>
      </c>
      <c r="FZ2" t="e">
        <f>AND(Inputs!#REF!,"AAAAADvfb7U=")</f>
        <v>#REF!</v>
      </c>
      <c r="GA2" t="e">
        <f>AND(Inputs!#REF!,"AAAAADvfb7Y=")</f>
        <v>#REF!</v>
      </c>
      <c r="GB2" t="e">
        <f>AND(Inputs!#REF!,"AAAAADvfb7c=")</f>
        <v>#REF!</v>
      </c>
      <c r="GC2" t="e">
        <f>AND(Inputs!#REF!,"AAAAADvfb7g=")</f>
        <v>#REF!</v>
      </c>
      <c r="GD2" t="e">
        <f>AND(Inputs!#REF!,"AAAAADvfb7k=")</f>
        <v>#REF!</v>
      </c>
      <c r="GE2" t="e">
        <f>AND(Inputs!#REF!,"AAAAADvfb7o=")</f>
        <v>#REF!</v>
      </c>
      <c r="GF2" t="e">
        <f>AND(Inputs!#REF!,"AAAAADvfb7s=")</f>
        <v>#REF!</v>
      </c>
      <c r="GG2" t="e">
        <f>AND(Inputs!#REF!,"AAAAADvfb7w=")</f>
        <v>#REF!</v>
      </c>
      <c r="GH2" t="e">
        <f>AND(Inputs!#REF!,"AAAAADvfb70=")</f>
        <v>#REF!</v>
      </c>
      <c r="GI2" t="e">
        <f>AND(Inputs!#REF!,"AAAAADvfb74=")</f>
        <v>#REF!</v>
      </c>
      <c r="GJ2" t="e">
        <f>AND(Inputs!#REF!,"AAAAADvfb78=")</f>
        <v>#REF!</v>
      </c>
      <c r="GK2" t="e">
        <f>IF(Inputs!#REF!,"AAAAADvfb8A=",0)</f>
        <v>#REF!</v>
      </c>
      <c r="GL2" t="e">
        <f>AND(Inputs!#REF!,"AAAAADvfb8E=")</f>
        <v>#REF!</v>
      </c>
      <c r="GM2" t="e">
        <f>AND(Inputs!#REF!,"AAAAADvfb8I=")</f>
        <v>#REF!</v>
      </c>
      <c r="GN2" t="e">
        <f>AND(Inputs!#REF!,"AAAAADvfb8M=")</f>
        <v>#REF!</v>
      </c>
      <c r="GO2" t="e">
        <f>AND(Inputs!#REF!,"AAAAADvfb8Q=")</f>
        <v>#REF!</v>
      </c>
      <c r="GP2" t="e">
        <f>AND(Inputs!#REF!,"AAAAADvfb8U=")</f>
        <v>#REF!</v>
      </c>
      <c r="GQ2" t="e">
        <f>AND(Inputs!#REF!,"AAAAADvfb8Y=")</f>
        <v>#REF!</v>
      </c>
      <c r="GR2" t="e">
        <f>AND(Inputs!#REF!,"AAAAADvfb8c=")</f>
        <v>#REF!</v>
      </c>
      <c r="GS2" t="e">
        <f>AND(Inputs!#REF!,"AAAAADvfb8g=")</f>
        <v>#REF!</v>
      </c>
      <c r="GT2" t="e">
        <f>AND(Inputs!#REF!,"AAAAADvfb8k=")</f>
        <v>#REF!</v>
      </c>
      <c r="GU2" t="e">
        <f>AND(Inputs!#REF!,"AAAAADvfb8o=")</f>
        <v>#REF!</v>
      </c>
      <c r="GV2" t="e">
        <f>AND(Inputs!#REF!,"AAAAADvfb8s=")</f>
        <v>#REF!</v>
      </c>
      <c r="GW2" t="e">
        <f>AND(Inputs!#REF!,"AAAAADvfb8w=")</f>
        <v>#REF!</v>
      </c>
      <c r="GX2" t="e">
        <f>AND(Inputs!#REF!,"AAAAADvfb80=")</f>
        <v>#REF!</v>
      </c>
      <c r="GY2" t="e">
        <f>IF(Inputs!#REF!,"AAAAADvfb84=",0)</f>
        <v>#REF!</v>
      </c>
      <c r="GZ2" t="e">
        <f>AND(Inputs!#REF!,"AAAAADvfb88=")</f>
        <v>#REF!</v>
      </c>
      <c r="HA2" t="e">
        <f>AND(Inputs!#REF!,"AAAAADvfb9A=")</f>
        <v>#REF!</v>
      </c>
      <c r="HB2" t="e">
        <f>AND(Inputs!#REF!,"AAAAADvfb9E=")</f>
        <v>#REF!</v>
      </c>
      <c r="HC2" t="e">
        <f>AND(Inputs!#REF!,"AAAAADvfb9I=")</f>
        <v>#REF!</v>
      </c>
      <c r="HD2" t="e">
        <f>AND(Inputs!#REF!,"AAAAADvfb9M=")</f>
        <v>#REF!</v>
      </c>
      <c r="HE2" t="e">
        <f>AND(Inputs!#REF!,"AAAAADvfb9Q=")</f>
        <v>#REF!</v>
      </c>
      <c r="HF2" t="e">
        <f>AND(Inputs!#REF!,"AAAAADvfb9U=")</f>
        <v>#REF!</v>
      </c>
      <c r="HG2" t="e">
        <f>AND(Inputs!#REF!,"AAAAADvfb9Y=")</f>
        <v>#REF!</v>
      </c>
      <c r="HH2" t="e">
        <f>AND(Inputs!#REF!,"AAAAADvfb9c=")</f>
        <v>#REF!</v>
      </c>
      <c r="HI2" t="e">
        <f>AND(Inputs!#REF!,"AAAAADvfb9g=")</f>
        <v>#REF!</v>
      </c>
      <c r="HJ2" t="e">
        <f>AND(Inputs!#REF!,"AAAAADvfb9k=")</f>
        <v>#REF!</v>
      </c>
      <c r="HK2" t="e">
        <f>AND(Inputs!#REF!,"AAAAADvfb9o=")</f>
        <v>#REF!</v>
      </c>
      <c r="HL2" t="e">
        <f>AND(Inputs!#REF!,"AAAAADvfb9s=")</f>
        <v>#REF!</v>
      </c>
      <c r="HM2" t="e">
        <f>IF(Inputs!#REF!,"AAAAADvfb9w=",0)</f>
        <v>#REF!</v>
      </c>
      <c r="HN2" t="e">
        <f>AND(Inputs!#REF!,"AAAAADvfb90=")</f>
        <v>#REF!</v>
      </c>
      <c r="HO2" t="e">
        <f>AND(Inputs!#REF!,"AAAAADvfb94=")</f>
        <v>#REF!</v>
      </c>
      <c r="HP2" t="e">
        <f>AND(Inputs!#REF!,"AAAAADvfb98=")</f>
        <v>#REF!</v>
      </c>
      <c r="HQ2" t="e">
        <f>AND(Inputs!#REF!,"AAAAADvfb+A=")</f>
        <v>#REF!</v>
      </c>
      <c r="HR2" t="e">
        <f>AND(Inputs!#REF!,"AAAAADvfb+E=")</f>
        <v>#REF!</v>
      </c>
      <c r="HS2" t="e">
        <f>AND(Inputs!#REF!,"AAAAADvfb+I=")</f>
        <v>#REF!</v>
      </c>
      <c r="HT2" t="e">
        <f>AND(Inputs!#REF!,"AAAAADvfb+M=")</f>
        <v>#REF!</v>
      </c>
      <c r="HU2" t="e">
        <f>AND(Inputs!#REF!,"AAAAADvfb+Q=")</f>
        <v>#REF!</v>
      </c>
      <c r="HV2" t="e">
        <f>AND(Inputs!#REF!,"AAAAADvfb+U=")</f>
        <v>#REF!</v>
      </c>
      <c r="HW2" t="e">
        <f>AND(Inputs!#REF!,"AAAAADvfb+Y=")</f>
        <v>#REF!</v>
      </c>
      <c r="HX2" t="e">
        <f>AND(Inputs!#REF!,"AAAAADvfb+c=")</f>
        <v>#REF!</v>
      </c>
      <c r="HY2" t="e">
        <f>AND(Inputs!#REF!,"AAAAADvfb+g=")</f>
        <v>#REF!</v>
      </c>
      <c r="HZ2" t="e">
        <f>AND(Inputs!#REF!,"AAAAADvfb+k=")</f>
        <v>#REF!</v>
      </c>
      <c r="IA2" t="e">
        <f>IF(Inputs!#REF!,"AAAAADvfb+o=",0)</f>
        <v>#REF!</v>
      </c>
      <c r="IB2" t="e">
        <f>AND(Inputs!#REF!,"AAAAADvfb+s=")</f>
        <v>#REF!</v>
      </c>
      <c r="IC2" t="e">
        <f>AND(Inputs!#REF!,"AAAAADvfb+w=")</f>
        <v>#REF!</v>
      </c>
      <c r="ID2" t="e">
        <f>AND(Inputs!#REF!,"AAAAADvfb+0=")</f>
        <v>#REF!</v>
      </c>
      <c r="IE2" t="e">
        <f>AND(Inputs!#REF!,"AAAAADvfb+4=")</f>
        <v>#REF!</v>
      </c>
      <c r="IF2" t="e">
        <f>AND(Inputs!#REF!,"AAAAADvfb+8=")</f>
        <v>#REF!</v>
      </c>
      <c r="IG2" t="e">
        <f>AND(Inputs!#REF!,"AAAAADvfb/A=")</f>
        <v>#REF!</v>
      </c>
      <c r="IH2" t="e">
        <f>AND(Inputs!#REF!,"AAAAADvfb/E=")</f>
        <v>#REF!</v>
      </c>
      <c r="II2" t="e">
        <f>AND(Inputs!#REF!,"AAAAADvfb/I=")</f>
        <v>#REF!</v>
      </c>
      <c r="IJ2" t="e">
        <f>AND(Inputs!#REF!,"AAAAADvfb/M=")</f>
        <v>#REF!</v>
      </c>
      <c r="IK2" t="e">
        <f>AND(Inputs!#REF!,"AAAAADvfb/Q=")</f>
        <v>#REF!</v>
      </c>
      <c r="IL2" t="e">
        <f>AND(Inputs!#REF!,"AAAAADvfb/U=")</f>
        <v>#REF!</v>
      </c>
      <c r="IM2" t="e">
        <f>AND(Inputs!#REF!,"AAAAADvfb/Y=")</f>
        <v>#REF!</v>
      </c>
      <c r="IN2" t="e">
        <f>AND(Inputs!#REF!,"AAAAADvfb/c=")</f>
        <v>#REF!</v>
      </c>
      <c r="IO2" t="e">
        <f>IF(Inputs!#REF!,"AAAAADvfb/g=",0)</f>
        <v>#REF!</v>
      </c>
      <c r="IP2" t="e">
        <f>AND(Inputs!#REF!,"AAAAADvfb/k=")</f>
        <v>#REF!</v>
      </c>
      <c r="IQ2" t="e">
        <f>AND(Inputs!#REF!,"AAAAADvfb/o=")</f>
        <v>#REF!</v>
      </c>
      <c r="IR2" t="e">
        <f>AND(Inputs!#REF!,"AAAAADvfb/s=")</f>
        <v>#REF!</v>
      </c>
      <c r="IS2" t="e">
        <f>AND(Inputs!#REF!,"AAAAADvfb/w=")</f>
        <v>#REF!</v>
      </c>
      <c r="IT2" t="e">
        <f>AND(Inputs!#REF!,"AAAAADvfb/0=")</f>
        <v>#REF!</v>
      </c>
      <c r="IU2" t="e">
        <f>AND(Inputs!#REF!,"AAAAADvfb/4=")</f>
        <v>#REF!</v>
      </c>
      <c r="IV2" t="e">
        <f>AND(Inputs!#REF!,"AAAAADvfb/8=")</f>
        <v>#REF!</v>
      </c>
    </row>
    <row r="3" spans="1:256">
      <c r="A3" t="e">
        <f>AND(Inputs!#REF!,"AAAAADZv8wA=")</f>
        <v>#REF!</v>
      </c>
      <c r="B3" t="e">
        <f>AND(Inputs!#REF!,"AAAAADZv8wE=")</f>
        <v>#REF!</v>
      </c>
      <c r="C3" t="e">
        <f>AND(Inputs!#REF!,"AAAAADZv8wI=")</f>
        <v>#REF!</v>
      </c>
      <c r="D3" t="e">
        <f>AND(Inputs!#REF!,"AAAAADZv8wM=")</f>
        <v>#REF!</v>
      </c>
      <c r="E3" t="e">
        <f>AND(Inputs!#REF!,"AAAAADZv8wQ=")</f>
        <v>#REF!</v>
      </c>
      <c r="F3" t="e">
        <f>AND(Inputs!#REF!,"AAAAADZv8wU=")</f>
        <v>#REF!</v>
      </c>
      <c r="G3" t="e">
        <f>IF(Inputs!#REF!,"AAAAADZv8wY=",0)</f>
        <v>#REF!</v>
      </c>
      <c r="H3" t="e">
        <f>AND(Inputs!#REF!,"AAAAADZv8wc=")</f>
        <v>#REF!</v>
      </c>
      <c r="I3" t="e">
        <f>AND(Inputs!#REF!,"AAAAADZv8wg=")</f>
        <v>#REF!</v>
      </c>
      <c r="J3" t="e">
        <f>AND(Inputs!#REF!,"AAAAADZv8wk=")</f>
        <v>#REF!</v>
      </c>
      <c r="K3" t="e">
        <f>AND(Inputs!#REF!,"AAAAADZv8wo=")</f>
        <v>#REF!</v>
      </c>
      <c r="L3" t="e">
        <f>AND(Inputs!#REF!,"AAAAADZv8ws=")</f>
        <v>#REF!</v>
      </c>
      <c r="M3" t="e">
        <f>AND(Inputs!#REF!,"AAAAADZv8ww=")</f>
        <v>#REF!</v>
      </c>
      <c r="N3" t="e">
        <f>AND(Inputs!#REF!,"AAAAADZv8w0=")</f>
        <v>#REF!</v>
      </c>
      <c r="O3" t="e">
        <f>AND(Inputs!#REF!,"AAAAADZv8w4=")</f>
        <v>#REF!</v>
      </c>
      <c r="P3" t="e">
        <f>AND(Inputs!#REF!,"AAAAADZv8w8=")</f>
        <v>#REF!</v>
      </c>
      <c r="Q3" t="e">
        <f>AND(Inputs!#REF!,"AAAAADZv8xA=")</f>
        <v>#REF!</v>
      </c>
      <c r="R3" t="e">
        <f>AND(Inputs!#REF!,"AAAAADZv8xE=")</f>
        <v>#REF!</v>
      </c>
      <c r="S3" t="e">
        <f>AND(Inputs!#REF!,"AAAAADZv8xI=")</f>
        <v>#REF!</v>
      </c>
      <c r="T3" t="e">
        <f>AND(Inputs!#REF!,"AAAAADZv8xM=")</f>
        <v>#REF!</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t="e">
        <f>IF(Inputs!#REF!,"AAAAADZv8yI=",0)</f>
        <v>#REF!</v>
      </c>
      <c r="AJ3" t="e">
        <f>AND(Inputs!#REF!,"AAAAADZv8yM=")</f>
        <v>#REF!</v>
      </c>
      <c r="AK3" t="e">
        <f>AND(Inputs!#REF!,"AAAAADZv8yQ=")</f>
        <v>#REF!</v>
      </c>
      <c r="AL3" t="e">
        <f>AND(Inputs!#REF!,"AAAAADZv8yU=")</f>
        <v>#REF!</v>
      </c>
      <c r="AM3" t="e">
        <f>AND(Inputs!#REF!,"AAAAADZv8yY=")</f>
        <v>#REF!</v>
      </c>
      <c r="AN3" t="e">
        <f>AND(Inputs!#REF!,"AAAAADZv8yc=")</f>
        <v>#REF!</v>
      </c>
      <c r="AO3" t="e">
        <f>AND(Inputs!#REF!,"AAAAADZv8yg=")</f>
        <v>#REF!</v>
      </c>
      <c r="AP3" t="e">
        <f>AND(Inputs!#REF!,"AAAAADZv8yk=")</f>
        <v>#REF!</v>
      </c>
      <c r="AQ3" t="e">
        <f>AND(Inputs!#REF!,"AAAAADZv8yo=")</f>
        <v>#REF!</v>
      </c>
      <c r="AR3" t="e">
        <f>AND(Inputs!#REF!,"AAAAADZv8ys=")</f>
        <v>#REF!</v>
      </c>
      <c r="AS3" t="e">
        <f>AND(Inputs!#REF!,"AAAAADZv8yw=")</f>
        <v>#REF!</v>
      </c>
      <c r="AT3" t="e">
        <f>AND(Inputs!#REF!,"AAAAADZv8y0=")</f>
        <v>#REF!</v>
      </c>
      <c r="AU3" t="e">
        <f>AND(Inputs!#REF!,"AAAAADZv8y4=")</f>
        <v>#REF!</v>
      </c>
      <c r="AV3" t="e">
        <f>AND(Inputs!#REF!,"AAAAADZv8y8=")</f>
        <v>#REF!</v>
      </c>
      <c r="AW3" t="e">
        <f>IF(Inputs!#REF!,"AAAAADZv8zA=",0)</f>
        <v>#REF!</v>
      </c>
      <c r="AX3" t="e">
        <f>AND(Inputs!#REF!,"AAAAADZv8zE=")</f>
        <v>#REF!</v>
      </c>
      <c r="AY3" t="e">
        <f>AND(Inputs!#REF!,"AAAAADZv8zI=")</f>
        <v>#REF!</v>
      </c>
      <c r="AZ3" t="e">
        <f>AND(Inputs!#REF!,"AAAAADZv8zM=")</f>
        <v>#REF!</v>
      </c>
      <c r="BA3" t="e">
        <f>AND(Inputs!#REF!,"AAAAADZv8zQ=")</f>
        <v>#REF!</v>
      </c>
      <c r="BB3" t="e">
        <f>AND(Inputs!#REF!,"AAAAADZv8zU=")</f>
        <v>#REF!</v>
      </c>
      <c r="BC3" t="e">
        <f>AND(Inputs!#REF!,"AAAAADZv8zY=")</f>
        <v>#REF!</v>
      </c>
      <c r="BD3" t="e">
        <f>AND(Inputs!#REF!,"AAAAADZv8zc=")</f>
        <v>#REF!</v>
      </c>
      <c r="BE3" t="e">
        <f>AND(Inputs!#REF!,"AAAAADZv8zg=")</f>
        <v>#REF!</v>
      </c>
      <c r="BF3" t="e">
        <f>AND(Inputs!#REF!,"AAAAADZv8zk=")</f>
        <v>#REF!</v>
      </c>
      <c r="BG3" t="e">
        <f>AND(Inputs!#REF!,"AAAAADZv8zo=")</f>
        <v>#REF!</v>
      </c>
      <c r="BH3" t="e">
        <f>AND(Inputs!#REF!,"AAAAADZv8zs=")</f>
        <v>#REF!</v>
      </c>
      <c r="BI3" t="e">
        <f>AND(Inputs!#REF!,"AAAAADZv8zw=")</f>
        <v>#REF!</v>
      </c>
      <c r="BJ3" t="e">
        <f>AND(Inputs!#REF!,"AAAAADZv8z0=")</f>
        <v>#REF!</v>
      </c>
      <c r="BK3" t="e">
        <f>IF(Inputs!#REF!,"AAAAADZv8z4=",0)</f>
        <v>#REF!</v>
      </c>
      <c r="BL3" t="e">
        <f>AND(Inputs!#REF!,"AAAAADZv8z8=")</f>
        <v>#REF!</v>
      </c>
      <c r="BM3" t="e">
        <f>AND(Inputs!#REF!,"AAAAADZv80A=")</f>
        <v>#REF!</v>
      </c>
      <c r="BN3" t="e">
        <f>AND(Inputs!#REF!,"AAAAADZv80E=")</f>
        <v>#REF!</v>
      </c>
      <c r="BO3" t="e">
        <f>AND(Inputs!#REF!,"AAAAADZv80I=")</f>
        <v>#REF!</v>
      </c>
      <c r="BP3" t="e">
        <f>AND(Inputs!#REF!,"AAAAADZv80M=")</f>
        <v>#REF!</v>
      </c>
      <c r="BQ3" t="e">
        <f>AND(Inputs!#REF!,"AAAAADZv80Q=")</f>
        <v>#REF!</v>
      </c>
      <c r="BR3" t="e">
        <f>AND(Inputs!#REF!,"AAAAADZv80U=")</f>
        <v>#REF!</v>
      </c>
      <c r="BS3" t="e">
        <f>AND(Inputs!#REF!,"AAAAADZv80Y=")</f>
        <v>#REF!</v>
      </c>
      <c r="BT3" t="e">
        <f>AND(Inputs!#REF!,"AAAAADZv80c=")</f>
        <v>#REF!</v>
      </c>
      <c r="BU3" t="e">
        <f>AND(Inputs!#REF!,"AAAAADZv80g=")</f>
        <v>#REF!</v>
      </c>
      <c r="BV3" t="e">
        <f>AND(Inputs!#REF!,"AAAAADZv80k=")</f>
        <v>#REF!</v>
      </c>
      <c r="BW3" t="e">
        <f>AND(Inputs!#REF!,"AAAAADZv80o=")</f>
        <v>#REF!</v>
      </c>
      <c r="BX3" t="e">
        <f>AND(Inputs!#REF!,"AAAAADZv80s=")</f>
        <v>#REF!</v>
      </c>
      <c r="BY3" t="e">
        <f>IF(Inputs!#REF!,"AAAAADZv80w=",0)</f>
        <v>#REF!</v>
      </c>
      <c r="BZ3" t="e">
        <f>AND(Inputs!#REF!,"AAAAADZv800=")</f>
        <v>#REF!</v>
      </c>
      <c r="CA3" t="e">
        <f>AND(Inputs!#REF!,"AAAAADZv804=")</f>
        <v>#REF!</v>
      </c>
      <c r="CB3" t="e">
        <f>AND(Inputs!#REF!,"AAAAADZv808=")</f>
        <v>#REF!</v>
      </c>
      <c r="CC3" t="e">
        <f>AND(Inputs!#REF!,"AAAAADZv81A=")</f>
        <v>#REF!</v>
      </c>
      <c r="CD3" t="e">
        <f>AND(Inputs!#REF!,"AAAAADZv81E=")</f>
        <v>#REF!</v>
      </c>
      <c r="CE3" t="e">
        <f>AND(Inputs!#REF!,"AAAAADZv81I=")</f>
        <v>#REF!</v>
      </c>
      <c r="CF3" t="e">
        <f>AND(Inputs!#REF!,"AAAAADZv81M=")</f>
        <v>#REF!</v>
      </c>
      <c r="CG3" t="e">
        <f>AND(Inputs!#REF!,"AAAAADZv81Q=")</f>
        <v>#REF!</v>
      </c>
      <c r="CH3" t="e">
        <f>AND(Inputs!#REF!,"AAAAADZv81U=")</f>
        <v>#REF!</v>
      </c>
      <c r="CI3" t="e">
        <f>AND(Inputs!#REF!,"AAAAADZv81Y=")</f>
        <v>#REF!</v>
      </c>
      <c r="CJ3" t="e">
        <f>AND(Inputs!#REF!,"AAAAADZv81c=")</f>
        <v>#REF!</v>
      </c>
      <c r="CK3" t="e">
        <f>AND(Inputs!#REF!,"AAAAADZv81g=")</f>
        <v>#REF!</v>
      </c>
      <c r="CL3" t="e">
        <f>AND(Inputs!#REF!,"AAAAADZv81k=")</f>
        <v>#REF!</v>
      </c>
      <c r="CM3" t="e">
        <f>IF(Inputs!#REF!,"AAAAADZv81o=",0)</f>
        <v>#REF!</v>
      </c>
      <c r="CN3" t="e">
        <f>AND(Inputs!#REF!,"AAAAADZv81s=")</f>
        <v>#REF!</v>
      </c>
      <c r="CO3" t="e">
        <f>AND(Inputs!#REF!,"AAAAADZv81w=")</f>
        <v>#REF!</v>
      </c>
      <c r="CP3" t="e">
        <f>AND(Inputs!#REF!,"AAAAADZv810=")</f>
        <v>#REF!</v>
      </c>
      <c r="CQ3" t="e">
        <f>AND(Inputs!#REF!,"AAAAADZv814=")</f>
        <v>#REF!</v>
      </c>
      <c r="CR3" t="e">
        <f>AND(Inputs!#REF!,"AAAAADZv818=")</f>
        <v>#REF!</v>
      </c>
      <c r="CS3" t="e">
        <f>AND(Inputs!#REF!,"AAAAADZv82A=")</f>
        <v>#REF!</v>
      </c>
      <c r="CT3" t="e">
        <f>AND(Inputs!#REF!,"AAAAADZv82E=")</f>
        <v>#REF!</v>
      </c>
      <c r="CU3" t="e">
        <f>AND(Inputs!#REF!,"AAAAADZv82I=")</f>
        <v>#REF!</v>
      </c>
      <c r="CV3" t="e">
        <f>AND(Inputs!#REF!,"AAAAADZv82M=")</f>
        <v>#REF!</v>
      </c>
      <c r="CW3" t="e">
        <f>AND(Inputs!#REF!,"AAAAADZv82Q=")</f>
        <v>#REF!</v>
      </c>
      <c r="CX3" t="e">
        <f>AND(Inputs!#REF!,"AAAAADZv82U=")</f>
        <v>#REF!</v>
      </c>
      <c r="CY3" t="e">
        <f>AND(Inputs!#REF!,"AAAAADZv82Y=")</f>
        <v>#REF!</v>
      </c>
      <c r="CZ3" t="e">
        <f>AND(Inputs!#REF!,"AAAAADZv82c=")</f>
        <v>#REF!</v>
      </c>
      <c r="DA3" t="e">
        <f>IF(Inputs!#REF!,"AAAAADZv82g=",0)</f>
        <v>#REF!</v>
      </c>
      <c r="DB3" t="e">
        <f>AND(Inputs!#REF!,"AAAAADZv82k=")</f>
        <v>#REF!</v>
      </c>
      <c r="DC3" t="e">
        <f>AND(Inputs!#REF!,"AAAAADZv82o=")</f>
        <v>#REF!</v>
      </c>
      <c r="DD3" t="e">
        <f>AND(Inputs!#REF!,"AAAAADZv82s=")</f>
        <v>#REF!</v>
      </c>
      <c r="DE3" t="e">
        <f>AND(Inputs!#REF!,"AAAAADZv82w=")</f>
        <v>#REF!</v>
      </c>
      <c r="DF3" t="e">
        <f>AND(Inputs!#REF!,"AAAAADZv820=")</f>
        <v>#REF!</v>
      </c>
      <c r="DG3" t="e">
        <f>AND(Inputs!#REF!,"AAAAADZv824=")</f>
        <v>#REF!</v>
      </c>
      <c r="DH3" t="e">
        <f>AND(Inputs!#REF!,"AAAAADZv828=")</f>
        <v>#REF!</v>
      </c>
      <c r="DI3" t="e">
        <f>AND(Inputs!#REF!,"AAAAADZv83A=")</f>
        <v>#REF!</v>
      </c>
      <c r="DJ3" t="e">
        <f>AND(Inputs!#REF!,"AAAAADZv83E=")</f>
        <v>#REF!</v>
      </c>
      <c r="DK3" t="e">
        <f>AND(Inputs!#REF!,"AAAAADZv83I=")</f>
        <v>#REF!</v>
      </c>
      <c r="DL3" t="e">
        <f>AND(Inputs!#REF!,"AAAAADZv83M=")</f>
        <v>#REF!</v>
      </c>
      <c r="DM3" t="e">
        <f>AND(Inputs!#REF!,"AAAAADZv83Q=")</f>
        <v>#REF!</v>
      </c>
      <c r="DN3" t="e">
        <f>AND(Inputs!#REF!,"AAAAADZv83U=")</f>
        <v>#REF!</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t="e">
        <f>IF(Inputs!#REF!,"AAAAADZv864=",0)</f>
        <v>#REF!</v>
      </c>
      <c r="FT3" t="e">
        <f>AND(Inputs!#REF!,"AAAAADZv868=")</f>
        <v>#REF!</v>
      </c>
      <c r="FU3" t="e">
        <f>AND(Inputs!#REF!,"AAAAADZv87A=")</f>
        <v>#REF!</v>
      </c>
      <c r="FV3" t="e">
        <f>AND(Inputs!#REF!,"AAAAADZv87E=")</f>
        <v>#REF!</v>
      </c>
      <c r="FW3" t="e">
        <f>AND(Inputs!#REF!,"AAAAADZv87I=")</f>
        <v>#REF!</v>
      </c>
      <c r="FX3" t="e">
        <f>AND(Inputs!#REF!,"AAAAADZv87M=")</f>
        <v>#REF!</v>
      </c>
      <c r="FY3" t="e">
        <f>AND(Inputs!#REF!,"AAAAADZv87Q=")</f>
        <v>#REF!</v>
      </c>
      <c r="FZ3" t="e">
        <f>AND(Inputs!#REF!,"AAAAADZv87U=")</f>
        <v>#REF!</v>
      </c>
      <c r="GA3" t="e">
        <f>AND(Inputs!#REF!,"AAAAADZv87Y=")</f>
        <v>#REF!</v>
      </c>
      <c r="GB3" t="e">
        <f>AND(Inputs!#REF!,"AAAAADZv87c=")</f>
        <v>#REF!</v>
      </c>
      <c r="GC3" t="e">
        <f>AND(Inputs!#REF!,"AAAAADZv87g=")</f>
        <v>#REF!</v>
      </c>
      <c r="GD3" t="e">
        <f>AND(Inputs!#REF!,"AAAAADZv87k=")</f>
        <v>#REF!</v>
      </c>
      <c r="GE3" t="e">
        <f>AND(Inputs!#REF!,"AAAAADZv87o=")</f>
        <v>#REF!</v>
      </c>
      <c r="GF3" t="e">
        <f>AND(Inputs!#REF!,"AAAAADZv87s=")</f>
        <v>#REF!</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t="e">
        <f>IF(Inputs!#REF!,"AAAAADZv88o=",0)</f>
        <v>#REF!</v>
      </c>
      <c r="GV3" t="e">
        <f>AND(Inputs!#REF!,"AAAAADZv88s=")</f>
        <v>#REF!</v>
      </c>
      <c r="GW3" t="e">
        <f>AND(Inputs!#REF!,"AAAAADZv88w=")</f>
        <v>#REF!</v>
      </c>
      <c r="GX3" t="e">
        <f>AND(Inputs!#REF!,"AAAAADZv880=")</f>
        <v>#REF!</v>
      </c>
      <c r="GY3" t="e">
        <f>AND(Inputs!#REF!,"AAAAADZv884=")</f>
        <v>#REF!</v>
      </c>
      <c r="GZ3" t="e">
        <f>AND(Inputs!#REF!,"AAAAADZv888=")</f>
        <v>#REF!</v>
      </c>
      <c r="HA3" t="e">
        <f>AND(Inputs!#REF!,"AAAAADZv89A=")</f>
        <v>#REF!</v>
      </c>
      <c r="HB3" t="e">
        <f>AND(Inputs!#REF!,"AAAAADZv89E=")</f>
        <v>#REF!</v>
      </c>
      <c r="HC3" t="e">
        <f>AND(Inputs!#REF!,"AAAAADZv89I=")</f>
        <v>#REF!</v>
      </c>
      <c r="HD3" t="e">
        <f>AND(Inputs!#REF!,"AAAAADZv89M=")</f>
        <v>#REF!</v>
      </c>
      <c r="HE3" t="e">
        <f>AND(Inputs!#REF!,"AAAAADZv89Q=")</f>
        <v>#REF!</v>
      </c>
      <c r="HF3" t="e">
        <f>AND(Inputs!#REF!,"AAAAADZv89U=")</f>
        <v>#REF!</v>
      </c>
      <c r="HG3" t="e">
        <f>AND(Inputs!#REF!,"AAAAADZv89Y=")</f>
        <v>#REF!</v>
      </c>
      <c r="HH3" t="e">
        <f>AND(Inputs!#REF!,"AAAAADZv89c=")</f>
        <v>#REF!</v>
      </c>
      <c r="HI3" t="e">
        <f>IF(Inputs!#REF!,"AAAAADZv89g=",0)</f>
        <v>#REF!</v>
      </c>
      <c r="HJ3" t="e">
        <f>AND(Inputs!#REF!,"AAAAADZv89k=")</f>
        <v>#REF!</v>
      </c>
      <c r="HK3" t="e">
        <f>AND(Inputs!#REF!,"AAAAADZv89o=")</f>
        <v>#REF!</v>
      </c>
      <c r="HL3" t="e">
        <f>AND(Inputs!#REF!,"AAAAADZv89s=")</f>
        <v>#REF!</v>
      </c>
      <c r="HM3" t="e">
        <f>AND(Inputs!#REF!,"AAAAADZv89w=")</f>
        <v>#REF!</v>
      </c>
      <c r="HN3" t="e">
        <f>AND(Inputs!#REF!,"AAAAADZv890=")</f>
        <v>#REF!</v>
      </c>
      <c r="HO3" t="e">
        <f>AND(Inputs!#REF!,"AAAAADZv894=")</f>
        <v>#REF!</v>
      </c>
      <c r="HP3" t="e">
        <f>AND(Inputs!#REF!,"AAAAADZv898=")</f>
        <v>#REF!</v>
      </c>
      <c r="HQ3" t="e">
        <f>AND(Inputs!#REF!,"AAAAADZv8+A=")</f>
        <v>#REF!</v>
      </c>
      <c r="HR3" t="e">
        <f>AND(Inputs!#REF!,"AAAAADZv8+E=")</f>
        <v>#REF!</v>
      </c>
      <c r="HS3" t="e">
        <f>AND(Inputs!#REF!,"AAAAADZv8+I=")</f>
        <v>#REF!</v>
      </c>
      <c r="HT3" t="e">
        <f>AND(Inputs!#REF!,"AAAAADZv8+M=")</f>
        <v>#REF!</v>
      </c>
      <c r="HU3" t="e">
        <f>AND(Inputs!#REF!,"AAAAADZv8+Q=")</f>
        <v>#REF!</v>
      </c>
      <c r="HV3" t="e">
        <f>AND(Inputs!#REF!,"AAAAADZv8+U=")</f>
        <v>#REF!</v>
      </c>
      <c r="HW3" t="e">
        <f>IF(Inputs!#REF!,"AAAAADZv8+Y=",0)</f>
        <v>#REF!</v>
      </c>
      <c r="HX3" t="e">
        <f>AND(Inputs!#REF!,"AAAAADZv8+c=")</f>
        <v>#REF!</v>
      </c>
      <c r="HY3" t="e">
        <f>AND(Inputs!#REF!,"AAAAADZv8+g=")</f>
        <v>#REF!</v>
      </c>
      <c r="HZ3" t="e">
        <f>AND(Inputs!#REF!,"AAAAADZv8+k=")</f>
        <v>#REF!</v>
      </c>
      <c r="IA3" t="e">
        <f>AND(Inputs!#REF!,"AAAAADZv8+o=")</f>
        <v>#REF!</v>
      </c>
      <c r="IB3" t="e">
        <f>AND(Inputs!#REF!,"AAAAADZv8+s=")</f>
        <v>#REF!</v>
      </c>
      <c r="IC3" t="e">
        <f>AND(Inputs!#REF!,"AAAAADZv8+w=")</f>
        <v>#REF!</v>
      </c>
      <c r="ID3" t="e">
        <f>AND(Inputs!#REF!,"AAAAADZv8+0=")</f>
        <v>#REF!</v>
      </c>
      <c r="IE3" t="e">
        <f>AND(Inputs!#REF!,"AAAAADZv8+4=")</f>
        <v>#REF!</v>
      </c>
      <c r="IF3" t="e">
        <f>AND(Inputs!#REF!,"AAAAADZv8+8=")</f>
        <v>#REF!</v>
      </c>
      <c r="IG3" t="e">
        <f>AND(Inputs!#REF!,"AAAAADZv8/A=")</f>
        <v>#REF!</v>
      </c>
      <c r="IH3" t="e">
        <f>AND(Inputs!#REF!,"AAAAADZv8/E=")</f>
        <v>#REF!</v>
      </c>
      <c r="II3" t="e">
        <f>AND(Inputs!#REF!,"AAAAADZv8/I=")</f>
        <v>#REF!</v>
      </c>
      <c r="IJ3" t="e">
        <f>AND(Inputs!#REF!,"AAAAADZv8/M=")</f>
        <v>#REF!</v>
      </c>
      <c r="IK3" t="e">
        <f>IF(Inputs!#REF!,"AAAAADZv8/Q=",0)</f>
        <v>#REF!</v>
      </c>
      <c r="IL3" t="e">
        <f>AND(Inputs!#REF!,"AAAAADZv8/U=")</f>
        <v>#REF!</v>
      </c>
      <c r="IM3" t="e">
        <f>AND(Inputs!#REF!,"AAAAADZv8/Y=")</f>
        <v>#REF!</v>
      </c>
      <c r="IN3" t="e">
        <f>AND(Inputs!#REF!,"AAAAADZv8/c=")</f>
        <v>#REF!</v>
      </c>
      <c r="IO3" t="e">
        <f>AND(Inputs!#REF!,"AAAAADZv8/g=")</f>
        <v>#REF!</v>
      </c>
      <c r="IP3" t="e">
        <f>AND(Inputs!#REF!,"AAAAADZv8/k=")</f>
        <v>#REF!</v>
      </c>
      <c r="IQ3" t="e">
        <f>AND(Inputs!#REF!,"AAAAADZv8/o=")</f>
        <v>#REF!</v>
      </c>
      <c r="IR3" t="e">
        <f>AND(Inputs!#REF!,"AAAAADZv8/s=")</f>
        <v>#REF!</v>
      </c>
      <c r="IS3" t="e">
        <f>AND(Inputs!#REF!,"AAAAADZv8/w=")</f>
        <v>#REF!</v>
      </c>
      <c r="IT3" t="e">
        <f>AND(Inputs!#REF!,"AAAAADZv8/0=")</f>
        <v>#REF!</v>
      </c>
      <c r="IU3" t="e">
        <f>AND(Inputs!#REF!,"AAAAADZv8/4=")</f>
        <v>#REF!</v>
      </c>
      <c r="IV3" t="e">
        <f>AND(Inputs!#REF!,"AAAAADZv8/8=")</f>
        <v>#REF!</v>
      </c>
    </row>
    <row r="4" spans="1:256">
      <c r="A4" t="e">
        <f>AND(Inputs!#REF!,"AAAAAHZt9gA=")</f>
        <v>#REF!</v>
      </c>
      <c r="B4" t="e">
        <f>AND(Inputs!#REF!,"AAAAAHZt9gE=")</f>
        <v>#REF!</v>
      </c>
      <c r="C4" t="e">
        <f>IF(Inputs!#REF!,"AAAAAHZt9gI=",0)</f>
        <v>#REF!</v>
      </c>
      <c r="D4" t="e">
        <f>AND(Inputs!#REF!,"AAAAAHZt9gM=")</f>
        <v>#REF!</v>
      </c>
      <c r="E4" t="e">
        <f>AND(Inputs!#REF!,"AAAAAHZt9gQ=")</f>
        <v>#REF!</v>
      </c>
      <c r="F4" t="e">
        <f>AND(Inputs!#REF!,"AAAAAHZt9gU=")</f>
        <v>#REF!</v>
      </c>
      <c r="G4" t="e">
        <f>AND(Inputs!#REF!,"AAAAAHZt9gY=")</f>
        <v>#REF!</v>
      </c>
      <c r="H4" t="e">
        <f>AND(Inputs!#REF!,"AAAAAHZt9gc=")</f>
        <v>#REF!</v>
      </c>
      <c r="I4" t="e">
        <f>AND(Inputs!#REF!,"AAAAAHZt9gg=")</f>
        <v>#REF!</v>
      </c>
      <c r="J4" t="e">
        <f>AND(Inputs!#REF!,"AAAAAHZt9gk=")</f>
        <v>#REF!</v>
      </c>
      <c r="K4" t="e">
        <f>AND(Inputs!#REF!,"AAAAAHZt9go=")</f>
        <v>#REF!</v>
      </c>
      <c r="L4" t="e">
        <f>AND(Inputs!#REF!,"AAAAAHZt9gs=")</f>
        <v>#REF!</v>
      </c>
      <c r="M4" t="e">
        <f>AND(Inputs!#REF!,"AAAAAHZt9gw=")</f>
        <v>#REF!</v>
      </c>
      <c r="N4" t="e">
        <f>AND(Inputs!#REF!,"AAAAAHZt9g0=")</f>
        <v>#REF!</v>
      </c>
      <c r="O4" t="e">
        <f>AND(Inputs!#REF!,"AAAAAHZt9g4=")</f>
        <v>#REF!</v>
      </c>
      <c r="P4" t="e">
        <f>AND(Inputs!#REF!,"AAAAAHZt9g8=")</f>
        <v>#REF!</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t="e">
        <f>IF(Inputs!#REF!,"AAAAAHZt9lY=",0)</f>
        <v>#REF!</v>
      </c>
      <c r="CJ4" t="e">
        <f>AND(Inputs!#REF!,"AAAAAHZt9lc=")</f>
        <v>#REF!</v>
      </c>
      <c r="CK4" t="e">
        <f>AND(Inputs!#REF!,"AAAAAHZt9lg=")</f>
        <v>#REF!</v>
      </c>
      <c r="CL4" t="e">
        <f>AND(Inputs!#REF!,"AAAAAHZt9lk=")</f>
        <v>#REF!</v>
      </c>
      <c r="CM4" t="e">
        <f>AND(Inputs!#REF!,"AAAAAHZt9lo=")</f>
        <v>#REF!</v>
      </c>
      <c r="CN4" t="e">
        <f>AND(Inputs!#REF!,"AAAAAHZt9ls=")</f>
        <v>#REF!</v>
      </c>
      <c r="CO4" t="e">
        <f>AND(Inputs!#REF!,"AAAAAHZt9lw=")</f>
        <v>#REF!</v>
      </c>
      <c r="CP4" t="e">
        <f>AND(Inputs!#REF!,"AAAAAHZt9l0=")</f>
        <v>#REF!</v>
      </c>
      <c r="CQ4" t="e">
        <f>AND(Inputs!#REF!,"AAAAAHZt9l4=")</f>
        <v>#REF!</v>
      </c>
      <c r="CR4" t="e">
        <f>AND(Inputs!#REF!,"AAAAAHZt9l8=")</f>
        <v>#REF!</v>
      </c>
      <c r="CS4" t="e">
        <f>AND(Inputs!#REF!,"AAAAAHZt9mA=")</f>
        <v>#REF!</v>
      </c>
      <c r="CT4" t="e">
        <f>AND(Inputs!#REF!,"AAAAAHZt9mE=")</f>
        <v>#REF!</v>
      </c>
      <c r="CU4" t="e">
        <f>AND(Inputs!#REF!,"AAAAAHZt9mI=")</f>
        <v>#REF!</v>
      </c>
      <c r="CV4" t="e">
        <f>AND(Inputs!#REF!,"AAAAAHZt9mM=")</f>
        <v>#REF!</v>
      </c>
      <c r="CW4" t="e">
        <f>IF(Inputs!#REF!,"AAAAAHZt9mQ=",0)</f>
        <v>#REF!</v>
      </c>
      <c r="CX4" t="e">
        <f>AND(Inputs!#REF!,"AAAAAHZt9mU=")</f>
        <v>#REF!</v>
      </c>
      <c r="CY4" t="e">
        <f>AND(Inputs!#REF!,"AAAAAHZt9mY=")</f>
        <v>#REF!</v>
      </c>
      <c r="CZ4" t="e">
        <f>AND(Inputs!#REF!,"AAAAAHZt9mc=")</f>
        <v>#REF!</v>
      </c>
      <c r="DA4" t="e">
        <f>AND(Inputs!#REF!,"AAAAAHZt9mg=")</f>
        <v>#REF!</v>
      </c>
      <c r="DB4" t="e">
        <f>AND(Inputs!#REF!,"AAAAAHZt9mk=")</f>
        <v>#REF!</v>
      </c>
      <c r="DC4" t="e">
        <f>AND(Inputs!#REF!,"AAAAAHZt9mo=")</f>
        <v>#REF!</v>
      </c>
      <c r="DD4" t="e">
        <f>AND(Inputs!#REF!,"AAAAAHZt9ms=")</f>
        <v>#REF!</v>
      </c>
      <c r="DE4" t="e">
        <f>AND(Inputs!#REF!,"AAAAAHZt9mw=")</f>
        <v>#REF!</v>
      </c>
      <c r="DF4" t="e">
        <f>AND(Inputs!#REF!,"AAAAAHZt9m0=")</f>
        <v>#REF!</v>
      </c>
      <c r="DG4" t="e">
        <f>AND(Inputs!#REF!,"AAAAAHZt9m4=")</f>
        <v>#REF!</v>
      </c>
      <c r="DH4" t="e">
        <f>AND(Inputs!#REF!,"AAAAAHZt9m8=")</f>
        <v>#REF!</v>
      </c>
      <c r="DI4" t="e">
        <f>AND(Inputs!#REF!,"AAAAAHZt9nA=")</f>
        <v>#REF!</v>
      </c>
      <c r="DJ4" t="e">
        <f>AND(Inputs!#REF!,"AAAAAHZt9nE=")</f>
        <v>#REF!</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t="e">
        <f>IF(Inputs!#REF!,"AAAAAHZt9o4=",0)</f>
        <v>#REF!</v>
      </c>
      <c r="EN4" t="e">
        <f>AND(Inputs!#REF!,"AAAAAHZt9o8=")</f>
        <v>#REF!</v>
      </c>
      <c r="EO4" t="e">
        <f>AND(Inputs!#REF!,"AAAAAHZt9pA=")</f>
        <v>#REF!</v>
      </c>
      <c r="EP4" t="e">
        <f>AND(Inputs!#REF!,"AAAAAHZt9pE=")</f>
        <v>#REF!</v>
      </c>
      <c r="EQ4" t="e">
        <f>AND(Inputs!#REF!,"AAAAAHZt9pI=")</f>
        <v>#REF!</v>
      </c>
      <c r="ER4" t="e">
        <f>AND(Inputs!#REF!,"AAAAAHZt9pM=")</f>
        <v>#REF!</v>
      </c>
      <c r="ES4" t="e">
        <f>AND(Inputs!#REF!,"AAAAAHZt9pQ=")</f>
        <v>#REF!</v>
      </c>
      <c r="ET4" t="e">
        <f>AND(Inputs!#REF!,"AAAAAHZt9pU=")</f>
        <v>#REF!</v>
      </c>
      <c r="EU4" t="e">
        <f>AND(Inputs!#REF!,"AAAAAHZt9pY=")</f>
        <v>#REF!</v>
      </c>
      <c r="EV4" t="e">
        <f>AND(Inputs!#REF!,"AAAAAHZt9pc=")</f>
        <v>#REF!</v>
      </c>
      <c r="EW4" t="e">
        <f>AND(Inputs!#REF!,"AAAAAHZt9pg=")</f>
        <v>#REF!</v>
      </c>
      <c r="EX4" t="e">
        <f>AND(Inputs!#REF!,"AAAAAHZt9pk=")</f>
        <v>#REF!</v>
      </c>
      <c r="EY4" t="e">
        <f>AND(Inputs!#REF!,"AAAAAHZt9po=")</f>
        <v>#REF!</v>
      </c>
      <c r="EZ4" t="e">
        <f>AND(Inputs!#REF!,"AAAAAHZt9ps=")</f>
        <v>#REF!</v>
      </c>
      <c r="FA4" t="e">
        <f>IF(Inputs!#REF!,"AAAAAHZt9pw=",0)</f>
        <v>#REF!</v>
      </c>
      <c r="FB4" t="e">
        <f>AND(Inputs!#REF!,"AAAAAHZt9p0=")</f>
        <v>#REF!</v>
      </c>
      <c r="FC4" t="e">
        <f>AND(Inputs!#REF!,"AAAAAHZt9p4=")</f>
        <v>#REF!</v>
      </c>
      <c r="FD4" t="e">
        <f>AND(Inputs!#REF!,"AAAAAHZt9p8=")</f>
        <v>#REF!</v>
      </c>
      <c r="FE4" t="e">
        <f>AND(Inputs!#REF!,"AAAAAHZt9qA=")</f>
        <v>#REF!</v>
      </c>
      <c r="FF4" t="e">
        <f>AND(Inputs!#REF!,"AAAAAHZt9qE=")</f>
        <v>#REF!</v>
      </c>
      <c r="FG4" t="e">
        <f>AND(Inputs!#REF!,"AAAAAHZt9qI=")</f>
        <v>#REF!</v>
      </c>
      <c r="FH4" t="e">
        <f>AND(Inputs!#REF!,"AAAAAHZt9qM=")</f>
        <v>#REF!</v>
      </c>
      <c r="FI4" t="e">
        <f>AND(Inputs!#REF!,"AAAAAHZt9qQ=")</f>
        <v>#REF!</v>
      </c>
      <c r="FJ4" t="e">
        <f>AND(Inputs!#REF!,"AAAAAHZt9qU=")</f>
        <v>#REF!</v>
      </c>
      <c r="FK4" t="e">
        <f>AND(Inputs!#REF!,"AAAAAHZt9qY=")</f>
        <v>#REF!</v>
      </c>
      <c r="FL4" t="e">
        <f>AND(Inputs!#REF!,"AAAAAHZt9qc=")</f>
        <v>#REF!</v>
      </c>
      <c r="FM4" t="e">
        <f>AND(Inputs!#REF!,"AAAAAHZt9qg=")</f>
        <v>#REF!</v>
      </c>
      <c r="FN4" t="e">
        <f>AND(Inputs!#REF!,"AAAAAHZt9qk=")</f>
        <v>#REF!</v>
      </c>
      <c r="FO4" t="e">
        <f>IF(Inputs!#REF!,"AAAAAHZt9qo=",0)</f>
        <v>#REF!</v>
      </c>
      <c r="FP4" t="e">
        <f>AND(Inputs!#REF!,"AAAAAHZt9qs=")</f>
        <v>#REF!</v>
      </c>
      <c r="FQ4" t="e">
        <f>AND(Inputs!#REF!,"AAAAAHZt9qw=")</f>
        <v>#REF!</v>
      </c>
      <c r="FR4" t="e">
        <f>AND(Inputs!#REF!,"AAAAAHZt9q0=")</f>
        <v>#REF!</v>
      </c>
      <c r="FS4" t="e">
        <f>AND(Inputs!#REF!,"AAAAAHZt9q4=")</f>
        <v>#REF!</v>
      </c>
      <c r="FT4" t="e">
        <f>AND(Inputs!#REF!,"AAAAAHZt9q8=")</f>
        <v>#REF!</v>
      </c>
      <c r="FU4" t="e">
        <f>AND(Inputs!#REF!,"AAAAAHZt9rA=")</f>
        <v>#REF!</v>
      </c>
      <c r="FV4" t="e">
        <f>AND(Inputs!#REF!,"AAAAAHZt9rE=")</f>
        <v>#REF!</v>
      </c>
      <c r="FW4" t="e">
        <f>AND(Inputs!#REF!,"AAAAAHZt9rI=")</f>
        <v>#REF!</v>
      </c>
      <c r="FX4" t="e">
        <f>AND(Inputs!#REF!,"AAAAAHZt9rM=")</f>
        <v>#REF!</v>
      </c>
      <c r="FY4" t="e">
        <f>AND(Inputs!#REF!,"AAAAAHZt9rQ=")</f>
        <v>#REF!</v>
      </c>
      <c r="FZ4" t="e">
        <f>AND(Inputs!#REF!,"AAAAAHZt9rU=")</f>
        <v>#REF!</v>
      </c>
      <c r="GA4" t="e">
        <f>AND(Inputs!#REF!,"AAAAAHZt9rY=")</f>
        <v>#REF!</v>
      </c>
      <c r="GB4" t="e">
        <f>AND(Inputs!#REF!,"AAAAAHZt9rc=")</f>
        <v>#REF!</v>
      </c>
      <c r="GC4" t="e">
        <f>IF(Inputs!#REF!,"AAAAAHZt9rg=",0)</f>
        <v>#REF!</v>
      </c>
      <c r="GD4" t="e">
        <f>AND(Inputs!#REF!,"AAAAAHZt9rk=")</f>
        <v>#REF!</v>
      </c>
      <c r="GE4" t="e">
        <f>AND(Inputs!#REF!,"AAAAAHZt9ro=")</f>
        <v>#REF!</v>
      </c>
      <c r="GF4" t="e">
        <f>AND(Inputs!#REF!,"AAAAAHZt9rs=")</f>
        <v>#REF!</v>
      </c>
      <c r="GG4" t="e">
        <f>AND(Inputs!#REF!,"AAAAAHZt9rw=")</f>
        <v>#REF!</v>
      </c>
      <c r="GH4" t="e">
        <f>AND(Inputs!#REF!,"AAAAAHZt9r0=")</f>
        <v>#REF!</v>
      </c>
      <c r="GI4" t="e">
        <f>AND(Inputs!#REF!,"AAAAAHZt9r4=")</f>
        <v>#REF!</v>
      </c>
      <c r="GJ4" t="e">
        <f>AND(Inputs!#REF!,"AAAAAHZt9r8=")</f>
        <v>#REF!</v>
      </c>
      <c r="GK4" t="e">
        <f>AND(Inputs!#REF!,"AAAAAHZt9sA=")</f>
        <v>#REF!</v>
      </c>
      <c r="GL4" t="e">
        <f>AND(Inputs!#REF!,"AAAAAHZt9sE=")</f>
        <v>#REF!</v>
      </c>
      <c r="GM4" t="e">
        <f>AND(Inputs!#REF!,"AAAAAHZt9sI=")</f>
        <v>#REF!</v>
      </c>
      <c r="GN4" t="e">
        <f>AND(Inputs!#REF!,"AAAAAHZt9sM=")</f>
        <v>#REF!</v>
      </c>
      <c r="GO4" t="e">
        <f>AND(Inputs!#REF!,"AAAAAHZt9sQ=")</f>
        <v>#REF!</v>
      </c>
      <c r="GP4" t="e">
        <f>AND(Inputs!#REF!,"AAAAAHZt9sU=")</f>
        <v>#REF!</v>
      </c>
      <c r="GQ4" t="e">
        <f>IF(Inputs!#REF!,"AAAAAHZt9sY=",0)</f>
        <v>#REF!</v>
      </c>
      <c r="GR4" t="e">
        <f>AND(Inputs!#REF!,"AAAAAHZt9sc=")</f>
        <v>#REF!</v>
      </c>
      <c r="GS4" t="e">
        <f>AND(Inputs!#REF!,"AAAAAHZt9sg=")</f>
        <v>#REF!</v>
      </c>
      <c r="GT4" t="e">
        <f>AND(Inputs!#REF!,"AAAAAHZt9sk=")</f>
        <v>#REF!</v>
      </c>
      <c r="GU4" t="e">
        <f>AND(Inputs!#REF!,"AAAAAHZt9so=")</f>
        <v>#REF!</v>
      </c>
      <c r="GV4" t="e">
        <f>AND(Inputs!#REF!,"AAAAAHZt9ss=")</f>
        <v>#REF!</v>
      </c>
      <c r="GW4" t="e">
        <f>AND(Inputs!#REF!,"AAAAAHZt9sw=")</f>
        <v>#REF!</v>
      </c>
      <c r="GX4" t="e">
        <f>AND(Inputs!#REF!,"AAAAAHZt9s0=")</f>
        <v>#REF!</v>
      </c>
      <c r="GY4" t="e">
        <f>AND(Inputs!#REF!,"AAAAAHZt9s4=")</f>
        <v>#REF!</v>
      </c>
      <c r="GZ4" t="e">
        <f>AND(Inputs!#REF!,"AAAAAHZt9s8=")</f>
        <v>#REF!</v>
      </c>
      <c r="HA4" t="e">
        <f>AND(Inputs!#REF!,"AAAAAHZt9tA=")</f>
        <v>#REF!</v>
      </c>
      <c r="HB4" t="e">
        <f>AND(Inputs!#REF!,"AAAAAHZt9tE=")</f>
        <v>#REF!</v>
      </c>
      <c r="HC4" t="e">
        <f>AND(Inputs!#REF!,"AAAAAHZt9tI=")</f>
        <v>#REF!</v>
      </c>
      <c r="HD4" t="e">
        <f>AND(Inputs!#REF!,"AAAAAHZt9tM=")</f>
        <v>#REF!</v>
      </c>
      <c r="HE4" t="e">
        <f>IF(Inputs!#REF!,"AAAAAHZt9tQ=",0)</f>
        <v>#REF!</v>
      </c>
      <c r="HF4" t="e">
        <f>AND(Inputs!#REF!,"AAAAAHZt9tU=")</f>
        <v>#REF!</v>
      </c>
      <c r="HG4" t="e">
        <f>AND(Inputs!#REF!,"AAAAAHZt9tY=")</f>
        <v>#REF!</v>
      </c>
      <c r="HH4" t="e">
        <f>AND(Inputs!#REF!,"AAAAAHZt9tc=")</f>
        <v>#REF!</v>
      </c>
      <c r="HI4" t="e">
        <f>AND(Inputs!#REF!,"AAAAAHZt9tg=")</f>
        <v>#REF!</v>
      </c>
      <c r="HJ4" t="e">
        <f>AND(Inputs!#REF!,"AAAAAHZt9tk=")</f>
        <v>#REF!</v>
      </c>
      <c r="HK4" t="e">
        <f>AND(Inputs!#REF!,"AAAAAHZt9to=")</f>
        <v>#REF!</v>
      </c>
      <c r="HL4" t="e">
        <f>AND(Inputs!#REF!,"AAAAAHZt9ts=")</f>
        <v>#REF!</v>
      </c>
      <c r="HM4" t="e">
        <f>AND(Inputs!#REF!,"AAAAAHZt9tw=")</f>
        <v>#REF!</v>
      </c>
      <c r="HN4" t="e">
        <f>AND(Inputs!#REF!,"AAAAAHZt9t0=")</f>
        <v>#REF!</v>
      </c>
      <c r="HO4" t="e">
        <f>AND(Inputs!#REF!,"AAAAAHZt9t4=")</f>
        <v>#REF!</v>
      </c>
      <c r="HP4" t="e">
        <f>AND(Inputs!#REF!,"AAAAAHZt9t8=")</f>
        <v>#REF!</v>
      </c>
      <c r="HQ4" t="e">
        <f>AND(Inputs!#REF!,"AAAAAHZt9uA=")</f>
        <v>#REF!</v>
      </c>
      <c r="HR4" t="e">
        <f>AND(Inputs!#REF!,"AAAAAHZt9uE=")</f>
        <v>#REF!</v>
      </c>
      <c r="HS4" t="e">
        <f>IF(Inputs!#REF!,"AAAAAHZt9uI=",0)</f>
        <v>#REF!</v>
      </c>
      <c r="HT4" t="e">
        <f>AND(Inputs!#REF!,"AAAAAHZt9uM=")</f>
        <v>#REF!</v>
      </c>
      <c r="HU4" t="e">
        <f>AND(Inputs!#REF!,"AAAAAHZt9uQ=")</f>
        <v>#REF!</v>
      </c>
      <c r="HV4" t="e">
        <f>AND(Inputs!#REF!,"AAAAAHZt9uU=")</f>
        <v>#REF!</v>
      </c>
      <c r="HW4" t="e">
        <f>AND(Inputs!#REF!,"AAAAAHZt9uY=")</f>
        <v>#REF!</v>
      </c>
      <c r="HX4" t="e">
        <f>AND(Inputs!#REF!,"AAAAAHZt9uc=")</f>
        <v>#REF!</v>
      </c>
      <c r="HY4" t="e">
        <f>AND(Inputs!#REF!,"AAAAAHZt9ug=")</f>
        <v>#REF!</v>
      </c>
      <c r="HZ4" t="e">
        <f>AND(Inputs!#REF!,"AAAAAHZt9uk=")</f>
        <v>#REF!</v>
      </c>
      <c r="IA4" t="e">
        <f>AND(Inputs!#REF!,"AAAAAHZt9uo=")</f>
        <v>#REF!</v>
      </c>
      <c r="IB4" t="e">
        <f>AND(Inputs!#REF!,"AAAAAHZt9us=")</f>
        <v>#REF!</v>
      </c>
      <c r="IC4" t="e">
        <f>AND(Inputs!#REF!,"AAAAAHZt9uw=")</f>
        <v>#REF!</v>
      </c>
      <c r="ID4" t="e">
        <f>AND(Inputs!#REF!,"AAAAAHZt9u0=")</f>
        <v>#REF!</v>
      </c>
      <c r="IE4" t="e">
        <f>AND(Inputs!#REF!,"AAAAAHZt9u4=")</f>
        <v>#REF!</v>
      </c>
      <c r="IF4" t="e">
        <f>AND(Inputs!#REF!,"AAAAAHZt9u8=")</f>
        <v>#REF!</v>
      </c>
      <c r="IG4" t="e">
        <f>IF(Inputs!#REF!,"AAAAAHZt9vA=",0)</f>
        <v>#REF!</v>
      </c>
      <c r="IH4" t="e">
        <f>AND(Inputs!#REF!,"AAAAAHZt9vE=")</f>
        <v>#REF!</v>
      </c>
      <c r="II4" t="e">
        <f>AND(Inputs!#REF!,"AAAAAHZt9vI=")</f>
        <v>#REF!</v>
      </c>
      <c r="IJ4" t="e">
        <f>AND(Inputs!#REF!,"AAAAAHZt9vM=")</f>
        <v>#REF!</v>
      </c>
      <c r="IK4" t="e">
        <f>AND(Inputs!#REF!,"AAAAAHZt9vQ=")</f>
        <v>#REF!</v>
      </c>
      <c r="IL4" t="e">
        <f>AND(Inputs!#REF!,"AAAAAHZt9vU=")</f>
        <v>#REF!</v>
      </c>
      <c r="IM4" t="e">
        <f>AND(Inputs!#REF!,"AAAAAHZt9vY=")</f>
        <v>#REF!</v>
      </c>
      <c r="IN4" t="e">
        <f>AND(Inputs!#REF!,"AAAAAHZt9vc=")</f>
        <v>#REF!</v>
      </c>
      <c r="IO4" t="e">
        <f>AND(Inputs!#REF!,"AAAAAHZt9vg=")</f>
        <v>#REF!</v>
      </c>
      <c r="IP4" t="e">
        <f>AND(Inputs!#REF!,"AAAAAHZt9vk=")</f>
        <v>#REF!</v>
      </c>
      <c r="IQ4" t="e">
        <f>AND(Inputs!#REF!,"AAAAAHZt9vo=")</f>
        <v>#REF!</v>
      </c>
      <c r="IR4" t="e">
        <f>AND(Inputs!#REF!,"AAAAAHZt9vs=")</f>
        <v>#REF!</v>
      </c>
      <c r="IS4" t="e">
        <f>AND(Inputs!#REF!,"AAAAAHZt9vw=")</f>
        <v>#REF!</v>
      </c>
      <c r="IT4" t="e">
        <f>AND(Inputs!#REF!,"AAAAAHZt9v0=")</f>
        <v>#REF!</v>
      </c>
      <c r="IU4" t="e">
        <f>IF(Inputs!#REF!,"AAAAAHZt9v4=",0)</f>
        <v>#REF!</v>
      </c>
      <c r="IV4" t="e">
        <f>AND(Inputs!#REF!,"AAAAAHZt9v8=")</f>
        <v>#REF!</v>
      </c>
    </row>
    <row r="5" spans="1:256">
      <c r="A5" t="e">
        <f>AND(Inputs!#REF!,"AAAAAH9/rwA=")</f>
        <v>#REF!</v>
      </c>
      <c r="B5" t="e">
        <f>AND(Inputs!#REF!,"AAAAAH9/rwE=")</f>
        <v>#REF!</v>
      </c>
      <c r="C5" t="e">
        <f>AND(Inputs!#REF!,"AAAAAH9/rwI=")</f>
        <v>#REF!</v>
      </c>
      <c r="D5" t="e">
        <f>AND(Inputs!#REF!,"AAAAAH9/rwM=")</f>
        <v>#REF!</v>
      </c>
      <c r="E5" t="e">
        <f>AND(Inputs!#REF!,"AAAAAH9/rwQ=")</f>
        <v>#REF!</v>
      </c>
      <c r="F5" t="e">
        <f>AND(Inputs!#REF!,"AAAAAH9/rwU=")</f>
        <v>#REF!</v>
      </c>
      <c r="G5" t="e">
        <f>AND(Inputs!#REF!,"AAAAAH9/rwY=")</f>
        <v>#REF!</v>
      </c>
      <c r="H5" t="e">
        <f>AND(Inputs!#REF!,"AAAAAH9/rwc=")</f>
        <v>#REF!</v>
      </c>
      <c r="I5" t="e">
        <f>AND(Inputs!#REF!,"AAAAAH9/rwg=")</f>
        <v>#REF!</v>
      </c>
      <c r="J5" t="e">
        <f>AND(Inputs!#REF!,"AAAAAH9/rwk=")</f>
        <v>#REF!</v>
      </c>
      <c r="K5" t="e">
        <f>AND(Inputs!#REF!,"AAAAAH9/rwo=")</f>
        <v>#REF!</v>
      </c>
      <c r="L5" t="e">
        <f>AND(Inputs!#REF!,"AAAAAH9/rws=")</f>
        <v>#REF!</v>
      </c>
      <c r="M5" t="e">
        <f>IF(Inputs!#REF!,"AAAAAH9/rww=",0)</f>
        <v>#REF!</v>
      </c>
      <c r="N5" t="e">
        <f>AND(Inputs!#REF!,"AAAAAH9/rw0=")</f>
        <v>#REF!</v>
      </c>
      <c r="O5" t="e">
        <f>AND(Inputs!#REF!,"AAAAAH9/rw4=")</f>
        <v>#REF!</v>
      </c>
      <c r="P5" t="e">
        <f>AND(Inputs!#REF!,"AAAAAH9/rw8=")</f>
        <v>#REF!</v>
      </c>
      <c r="Q5" t="e">
        <f>AND(Inputs!#REF!,"AAAAAH9/rxA=")</f>
        <v>#REF!</v>
      </c>
      <c r="R5" t="e">
        <f>AND(Inputs!#REF!,"AAAAAH9/rxE=")</f>
        <v>#REF!</v>
      </c>
      <c r="S5" t="e">
        <f>AND(Inputs!#REF!,"AAAAAH9/rxI=")</f>
        <v>#REF!</v>
      </c>
      <c r="T5" t="e">
        <f>AND(Inputs!#REF!,"AAAAAH9/rxM=")</f>
        <v>#REF!</v>
      </c>
      <c r="U5" t="e">
        <f>AND(Inputs!#REF!,"AAAAAH9/rxQ=")</f>
        <v>#REF!</v>
      </c>
      <c r="V5" t="e">
        <f>AND(Inputs!#REF!,"AAAAAH9/rxU=")</f>
        <v>#REF!</v>
      </c>
      <c r="W5" t="e">
        <f>AND(Inputs!#REF!,"AAAAAH9/rxY=")</f>
        <v>#REF!</v>
      </c>
      <c r="X5" t="e">
        <f>AND(Inputs!#REF!,"AAAAAH9/rxc=")</f>
        <v>#REF!</v>
      </c>
      <c r="Y5" t="e">
        <f>AND(Inputs!#REF!,"AAAAAH9/rxg=")</f>
        <v>#REF!</v>
      </c>
      <c r="Z5" t="e">
        <f>AND(Inputs!#REF!,"AAAAAH9/rxk=")</f>
        <v>#REF!</v>
      </c>
      <c r="AA5" t="e">
        <f>IF(Inputs!#REF!,"AAAAAH9/rxo=",0)</f>
        <v>#REF!</v>
      </c>
      <c r="AB5" t="e">
        <f>AND(Inputs!#REF!,"AAAAAH9/rxs=")</f>
        <v>#REF!</v>
      </c>
      <c r="AC5" t="e">
        <f>AND(Inputs!#REF!,"AAAAAH9/rxw=")</f>
        <v>#REF!</v>
      </c>
      <c r="AD5" t="e">
        <f>AND(Inputs!#REF!,"AAAAAH9/rx0=")</f>
        <v>#REF!</v>
      </c>
      <c r="AE5" t="e">
        <f>AND(Inputs!#REF!,"AAAAAH9/rx4=")</f>
        <v>#REF!</v>
      </c>
      <c r="AF5" t="e">
        <f>AND(Inputs!#REF!,"AAAAAH9/rx8=")</f>
        <v>#REF!</v>
      </c>
      <c r="AG5" t="e">
        <f>AND(Inputs!#REF!,"AAAAAH9/ryA=")</f>
        <v>#REF!</v>
      </c>
      <c r="AH5" t="e">
        <f>AND(Inputs!#REF!,"AAAAAH9/ryE=")</f>
        <v>#REF!</v>
      </c>
      <c r="AI5" t="e">
        <f>AND(Inputs!#REF!,"AAAAAH9/ryI=")</f>
        <v>#REF!</v>
      </c>
      <c r="AJ5" t="e">
        <f>AND(Inputs!#REF!,"AAAAAH9/ryM=")</f>
        <v>#REF!</v>
      </c>
      <c r="AK5" t="e">
        <f>AND(Inputs!#REF!,"AAAAAH9/ryQ=")</f>
        <v>#REF!</v>
      </c>
      <c r="AL5" t="e">
        <f>AND(Inputs!#REF!,"AAAAAH9/ryU=")</f>
        <v>#REF!</v>
      </c>
      <c r="AM5" t="e">
        <f>AND(Inputs!#REF!,"AAAAAH9/ryY=")</f>
        <v>#REF!</v>
      </c>
      <c r="AN5" t="e">
        <f>AND(Inputs!#REF!,"AAAAAH9/ryc=")</f>
        <v>#REF!</v>
      </c>
      <c r="AO5" t="e">
        <f>IF(Inputs!#REF!,"AAAAAH9/ryg=",0)</f>
        <v>#REF!</v>
      </c>
      <c r="AP5" t="e">
        <f>AND(Inputs!#REF!,"AAAAAH9/ryk=")</f>
        <v>#REF!</v>
      </c>
      <c r="AQ5" t="e">
        <f>AND(Inputs!#REF!,"AAAAAH9/ryo=")</f>
        <v>#REF!</v>
      </c>
      <c r="AR5" t="e">
        <f>AND(Inputs!#REF!,"AAAAAH9/rys=")</f>
        <v>#REF!</v>
      </c>
      <c r="AS5" t="e">
        <f>AND(Inputs!#REF!,"AAAAAH9/ryw=")</f>
        <v>#REF!</v>
      </c>
      <c r="AT5" t="e">
        <f>AND(Inputs!#REF!,"AAAAAH9/ry0=")</f>
        <v>#REF!</v>
      </c>
      <c r="AU5" t="e">
        <f>AND(Inputs!#REF!,"AAAAAH9/ry4=")</f>
        <v>#REF!</v>
      </c>
      <c r="AV5" t="e">
        <f>AND(Inputs!#REF!,"AAAAAH9/ry8=")</f>
        <v>#REF!</v>
      </c>
      <c r="AW5" t="e">
        <f>AND(Inputs!#REF!,"AAAAAH9/rzA=")</f>
        <v>#REF!</v>
      </c>
      <c r="AX5" t="e">
        <f>AND(Inputs!#REF!,"AAAAAH9/rzE=")</f>
        <v>#REF!</v>
      </c>
      <c r="AY5" t="e">
        <f>AND(Inputs!#REF!,"AAAAAH9/rzI=")</f>
        <v>#REF!</v>
      </c>
      <c r="AZ5" t="e">
        <f>AND(Inputs!#REF!,"AAAAAH9/rzM=")</f>
        <v>#REF!</v>
      </c>
      <c r="BA5" t="e">
        <f>AND(Inputs!#REF!,"AAAAAH9/rzQ=")</f>
        <v>#REF!</v>
      </c>
      <c r="BB5" t="e">
        <f>AND(Inputs!#REF!,"AAAAAH9/rzU=")</f>
        <v>#REF!</v>
      </c>
      <c r="BC5" t="e">
        <f>IF(Inputs!#REF!,"AAAAAH9/rzY=",0)</f>
        <v>#REF!</v>
      </c>
      <c r="BD5" t="e">
        <f>AND(Inputs!#REF!,"AAAAAH9/rzc=")</f>
        <v>#REF!</v>
      </c>
      <c r="BE5" t="e">
        <f>AND(Inputs!#REF!,"AAAAAH9/rzg=")</f>
        <v>#REF!</v>
      </c>
      <c r="BF5" t="e">
        <f>AND(Inputs!#REF!,"AAAAAH9/rzk=")</f>
        <v>#REF!</v>
      </c>
      <c r="BG5" t="e">
        <f>AND(Inputs!#REF!,"AAAAAH9/rzo=")</f>
        <v>#REF!</v>
      </c>
      <c r="BH5" t="e">
        <f>AND(Inputs!#REF!,"AAAAAH9/rzs=")</f>
        <v>#REF!</v>
      </c>
      <c r="BI5" t="e">
        <f>AND(Inputs!#REF!,"AAAAAH9/rzw=")</f>
        <v>#REF!</v>
      </c>
      <c r="BJ5" t="e">
        <f>AND(Inputs!#REF!,"AAAAAH9/rz0=")</f>
        <v>#REF!</v>
      </c>
      <c r="BK5" t="e">
        <f>AND(Inputs!#REF!,"AAAAAH9/rz4=")</f>
        <v>#REF!</v>
      </c>
      <c r="BL5" t="e">
        <f>AND(Inputs!#REF!,"AAAAAH9/rz8=")</f>
        <v>#REF!</v>
      </c>
      <c r="BM5" t="e">
        <f>AND(Inputs!#REF!,"AAAAAH9/r0A=")</f>
        <v>#REF!</v>
      </c>
      <c r="BN5" t="e">
        <f>AND(Inputs!#REF!,"AAAAAH9/r0E=")</f>
        <v>#REF!</v>
      </c>
      <c r="BO5" t="e">
        <f>AND(Inputs!#REF!,"AAAAAH9/r0I=")</f>
        <v>#REF!</v>
      </c>
      <c r="BP5" t="e">
        <f>AND(Inputs!#REF!,"AAAAAH9/r0M=")</f>
        <v>#REF!</v>
      </c>
      <c r="BQ5" t="e">
        <f>IF(Inputs!#REF!,"AAAAAH9/r0Q=",0)</f>
        <v>#REF!</v>
      </c>
      <c r="BR5" t="e">
        <f>AND(Inputs!#REF!,"AAAAAH9/r0U=")</f>
        <v>#REF!</v>
      </c>
      <c r="BS5" t="e">
        <f>AND(Inputs!#REF!,"AAAAAH9/r0Y=")</f>
        <v>#REF!</v>
      </c>
      <c r="BT5" t="e">
        <f>AND(Inputs!#REF!,"AAAAAH9/r0c=")</f>
        <v>#REF!</v>
      </c>
      <c r="BU5" t="e">
        <f>AND(Inputs!#REF!,"AAAAAH9/r0g=")</f>
        <v>#REF!</v>
      </c>
      <c r="BV5" t="e">
        <f>AND(Inputs!#REF!,"AAAAAH9/r0k=")</f>
        <v>#REF!</v>
      </c>
      <c r="BW5" t="e">
        <f>AND(Inputs!#REF!,"AAAAAH9/r0o=")</f>
        <v>#REF!</v>
      </c>
      <c r="BX5" t="e">
        <f>AND(Inputs!#REF!,"AAAAAH9/r0s=")</f>
        <v>#REF!</v>
      </c>
      <c r="BY5" t="e">
        <f>AND(Inputs!#REF!,"AAAAAH9/r0w=")</f>
        <v>#REF!</v>
      </c>
      <c r="BZ5" t="e">
        <f>AND(Inputs!#REF!,"AAAAAH9/r00=")</f>
        <v>#REF!</v>
      </c>
      <c r="CA5" t="e">
        <f>AND(Inputs!#REF!,"AAAAAH9/r04=")</f>
        <v>#REF!</v>
      </c>
      <c r="CB5" t="e">
        <f>AND(Inputs!#REF!,"AAAAAH9/r08=")</f>
        <v>#REF!</v>
      </c>
      <c r="CC5" t="e">
        <f>AND(Inputs!#REF!,"AAAAAH9/r1A=")</f>
        <v>#REF!</v>
      </c>
      <c r="CD5" t="e">
        <f>AND(Inputs!#REF!,"AAAAAH9/r1E=")</f>
        <v>#REF!</v>
      </c>
      <c r="CE5" t="e">
        <f>IF(Inputs!#REF!,"AAAAAH9/r1I=",0)</f>
        <v>#REF!</v>
      </c>
      <c r="CF5" t="e">
        <f>AND(Inputs!#REF!,"AAAAAH9/r1M=")</f>
        <v>#REF!</v>
      </c>
      <c r="CG5" t="e">
        <f>AND(Inputs!#REF!,"AAAAAH9/r1Q=")</f>
        <v>#REF!</v>
      </c>
      <c r="CH5" t="e">
        <f>AND(Inputs!#REF!,"AAAAAH9/r1U=")</f>
        <v>#REF!</v>
      </c>
      <c r="CI5" t="e">
        <f>AND(Inputs!#REF!,"AAAAAH9/r1Y=")</f>
        <v>#REF!</v>
      </c>
      <c r="CJ5" t="e">
        <f>AND(Inputs!#REF!,"AAAAAH9/r1c=")</f>
        <v>#REF!</v>
      </c>
      <c r="CK5" t="e">
        <f>AND(Inputs!#REF!,"AAAAAH9/r1g=")</f>
        <v>#REF!</v>
      </c>
      <c r="CL5" t="e">
        <f>AND(Inputs!#REF!,"AAAAAH9/r1k=")</f>
        <v>#REF!</v>
      </c>
      <c r="CM5" t="e">
        <f>AND(Inputs!#REF!,"AAAAAH9/r1o=")</f>
        <v>#REF!</v>
      </c>
      <c r="CN5" t="e">
        <f>AND(Inputs!#REF!,"AAAAAH9/r1s=")</f>
        <v>#REF!</v>
      </c>
      <c r="CO5" t="e">
        <f>AND(Inputs!#REF!,"AAAAAH9/r1w=")</f>
        <v>#REF!</v>
      </c>
      <c r="CP5" t="e">
        <f>AND(Inputs!#REF!,"AAAAAH9/r10=")</f>
        <v>#REF!</v>
      </c>
      <c r="CQ5" t="e">
        <f>AND(Inputs!#REF!,"AAAAAH9/r14=")</f>
        <v>#REF!</v>
      </c>
      <c r="CR5" t="e">
        <f>AND(Inputs!#REF!,"AAAAAH9/r18=")</f>
        <v>#REF!</v>
      </c>
      <c r="CS5" t="e">
        <f>IF(Inputs!#REF!,"AAAAAH9/r2A=",0)</f>
        <v>#REF!</v>
      </c>
      <c r="CT5">
        <f>IF(Inputs!A:A,"AAAAAH9/r2E=",0)</f>
        <v>0</v>
      </c>
      <c r="CU5" t="e">
        <f>IF(Inputs!#REF!,"AAAAAH9/r2I=",0)</f>
        <v>#REF!</v>
      </c>
      <c r="CV5" t="e">
        <f>IF(Inputs!B:B,"AAAAAH9/r2M=",0)</f>
        <v>#VALUE!</v>
      </c>
      <c r="CW5">
        <f>IF(Inputs!C:C,"AAAAAH9/r2Q=",0)</f>
        <v>0</v>
      </c>
      <c r="CX5">
        <f>IF(Inputs!D:D,"AAAAAH9/r2U=",0)</f>
        <v>0</v>
      </c>
      <c r="CY5">
        <f>IF(Inputs!E:E,"AAAAAH9/r2Y=",0)</f>
        <v>0</v>
      </c>
      <c r="CZ5">
        <f>IF(Inputs!F:F,"AAAAAH9/r2c=",0)</f>
        <v>0</v>
      </c>
      <c r="DA5">
        <f>IF(Inputs!G:G,"AAAAAH9/r2g=",0)</f>
        <v>0</v>
      </c>
      <c r="DB5">
        <f>IF(Inputs!H:H,"AAAAAH9/r2k=",0)</f>
        <v>0</v>
      </c>
      <c r="DC5">
        <f>IF(Inputs!I:I,"AAAAAH9/r2o=",0)</f>
        <v>0</v>
      </c>
      <c r="DD5">
        <f>IF(Inputs!J:J,"AAAAAH9/r2s=",0)</f>
        <v>0</v>
      </c>
      <c r="DE5">
        <f>IF(Inputs!K:K,"AAAAAH9/r2w=",0)</f>
        <v>0</v>
      </c>
      <c r="DF5">
        <f>IF(Inputs!L:L,"AAAAAH9/r20=",0)</f>
        <v>0</v>
      </c>
      <c r="DG5">
        <f>IF(Output!1:1,"AAAAAH9/r24=",0)</f>
        <v>0</v>
      </c>
      <c r="DH5" t="e">
        <f>AND(Output!A1,"AAAAAH9/r28=")</f>
        <v>#VALUE!</v>
      </c>
      <c r="DI5" t="e">
        <f>AND(Output!B1,"AAAAAH9/r3A=")</f>
        <v>#VALUE!</v>
      </c>
      <c r="DJ5" t="e">
        <f>AND(Output!C1,"AAAAAH9/r3E=")</f>
        <v>#VALUE!</v>
      </c>
      <c r="DK5" t="e">
        <f>AND(Output!D1,"AAAAAH9/r3I=")</f>
        <v>#VALUE!</v>
      </c>
      <c r="DL5" t="e">
        <f>AND(Output!E1,"AAAAAH9/r3M=")</f>
        <v>#VALUE!</v>
      </c>
      <c r="DM5" t="e">
        <f>AND(Output!F1,"AAAAAH9/r3Q=")</f>
        <v>#VALUE!</v>
      </c>
      <c r="DN5" t="e">
        <f>AND(Output!G1,"AAAAAH9/r3U=")</f>
        <v>#VALUE!</v>
      </c>
      <c r="DO5" t="e">
        <f>AND(Output!H1,"AAAAAH9/r3Y=")</f>
        <v>#VALUE!</v>
      </c>
      <c r="DP5" t="e">
        <f>AND(Output!J1,"AAAAAH9/r3c=")</f>
        <v>#VALUE!</v>
      </c>
      <c r="DQ5" t="e">
        <f>AND(Output!K1,"AAAAAH9/r3g=")</f>
        <v>#VALUE!</v>
      </c>
      <c r="DR5" t="e">
        <f>AND(Output!L1,"AAAAAH9/r3k=")</f>
        <v>#VALUE!</v>
      </c>
      <c r="DS5" t="e">
        <f>AND(Output!M1,"AAAAAH9/r3o=")</f>
        <v>#VALUE!</v>
      </c>
      <c r="DT5">
        <f>IF(Output!2:2,"AAAAAH9/r3s=",0)</f>
        <v>0</v>
      </c>
      <c r="DU5" t="e">
        <f>AND(Output!A2,"AAAAAH9/r3w=")</f>
        <v>#VALUE!</v>
      </c>
      <c r="DV5" t="e">
        <f>AND(Output!B2,"AAAAAH9/r30=")</f>
        <v>#VALUE!</v>
      </c>
      <c r="DW5" t="e">
        <f>AND(Output!C2,"AAAAAH9/r34=")</f>
        <v>#VALUE!</v>
      </c>
      <c r="DX5" t="e">
        <f>AND(Output!D2,"AAAAAH9/r38=")</f>
        <v>#VALUE!</v>
      </c>
      <c r="DY5" t="e">
        <f>AND(Output!E2,"AAAAAH9/r4A=")</f>
        <v>#VALUE!</v>
      </c>
      <c r="DZ5" t="e">
        <f>AND(Output!F2,"AAAAAH9/r4E=")</f>
        <v>#VALUE!</v>
      </c>
      <c r="EA5" t="e">
        <f>AND(Output!G2,"AAAAAH9/r4I=")</f>
        <v>#VALUE!</v>
      </c>
      <c r="EB5" t="e">
        <f>AND(Output!H2,"AAAAAH9/r4M=")</f>
        <v>#VALUE!</v>
      </c>
      <c r="EC5" t="e">
        <f>AND(Output!J2,"AAAAAH9/r4Q=")</f>
        <v>#VALUE!</v>
      </c>
      <c r="ED5" t="e">
        <f>AND(Output!K2,"AAAAAH9/r4U=")</f>
        <v>#VALUE!</v>
      </c>
      <c r="EE5" t="e">
        <f>AND(Output!L2,"AAAAAH9/r4Y=")</f>
        <v>#VALUE!</v>
      </c>
      <c r="EF5" t="e">
        <f>AND(Output!M2,"AAAAAH9/r4c=")</f>
        <v>#VALUE!</v>
      </c>
      <c r="EG5">
        <f>IF(Output!3:3,"AAAAAH9/r4g=",0)</f>
        <v>0</v>
      </c>
      <c r="EH5" t="e">
        <f>AND(Output!A3,"AAAAAH9/r4k=")</f>
        <v>#VALUE!</v>
      </c>
      <c r="EI5" t="e">
        <f>AND(Output!B3,"AAAAAH9/r4o=")</f>
        <v>#VALUE!</v>
      </c>
      <c r="EJ5" t="e">
        <f>AND(Output!C3,"AAAAAH9/r4s=")</f>
        <v>#VALUE!</v>
      </c>
      <c r="EK5" t="e">
        <f>AND(Output!D3,"AAAAAH9/r4w=")</f>
        <v>#VALUE!</v>
      </c>
      <c r="EL5" t="e">
        <f>AND(Output!E3,"AAAAAH9/r40=")</f>
        <v>#VALUE!</v>
      </c>
      <c r="EM5" t="e">
        <f>AND(Output!F3,"AAAAAH9/r44=")</f>
        <v>#VALUE!</v>
      </c>
      <c r="EN5" t="e">
        <f>AND(Output!G3,"AAAAAH9/r48=")</f>
        <v>#VALUE!</v>
      </c>
      <c r="EO5" t="e">
        <f>AND(Output!H3,"AAAAAH9/r5A=")</f>
        <v>#VALUE!</v>
      </c>
      <c r="EP5" t="e">
        <f>AND(Output!J3,"AAAAAH9/r5E=")</f>
        <v>#VALUE!</v>
      </c>
      <c r="EQ5" t="e">
        <f>AND(Output!K3,"AAAAAH9/r5I=")</f>
        <v>#VALUE!</v>
      </c>
      <c r="ER5" t="e">
        <f>AND(Output!L3,"AAAAAH9/r5M=")</f>
        <v>#VALUE!</v>
      </c>
      <c r="ES5" t="e">
        <f>AND(Output!M3,"AAAAAH9/r5Q=")</f>
        <v>#VALUE!</v>
      </c>
      <c r="ET5" t="e">
        <f>IF(Output!#REF!,"AAAAAH9/r5U=",0)</f>
        <v>#REF!</v>
      </c>
      <c r="EU5" t="e">
        <f>AND(Output!#REF!,"AAAAAH9/r5Y=")</f>
        <v>#REF!</v>
      </c>
      <c r="EV5" t="e">
        <f>AND(Output!#REF!,"AAAAAH9/r5c=")</f>
        <v>#REF!</v>
      </c>
      <c r="EW5" t="e">
        <f>AND(Output!#REF!,"AAAAAH9/r5g=")</f>
        <v>#REF!</v>
      </c>
      <c r="EX5" t="e">
        <f>AND(Output!#REF!,"AAAAAH9/r5k=")</f>
        <v>#REF!</v>
      </c>
      <c r="EY5" t="e">
        <f>AND(Output!#REF!,"AAAAAH9/r5o=")</f>
        <v>#REF!</v>
      </c>
      <c r="EZ5" t="e">
        <f>AND(Output!#REF!,"AAAAAH9/r5s=")</f>
        <v>#REF!</v>
      </c>
      <c r="FA5" t="e">
        <f>AND(Output!#REF!,"AAAAAH9/r5w=")</f>
        <v>#REF!</v>
      </c>
      <c r="FB5" t="e">
        <f>AND(Output!#REF!,"AAAAAH9/r50=")</f>
        <v>#REF!</v>
      </c>
      <c r="FC5" t="e">
        <f>AND(Output!#REF!,"AAAAAH9/r54=")</f>
        <v>#REF!</v>
      </c>
      <c r="FD5" t="e">
        <f>AND(Output!#REF!,"AAAAAH9/r58=")</f>
        <v>#REF!</v>
      </c>
      <c r="FE5" t="e">
        <f>AND(Output!#REF!,"AAAAAH9/r6A=")</f>
        <v>#REF!</v>
      </c>
      <c r="FF5" t="e">
        <f>AND(Output!#REF!,"AAAAAH9/r6E=")</f>
        <v>#REF!</v>
      </c>
      <c r="FG5">
        <f>IF(Output!6:6,"AAAAAH9/r6I=",0)</f>
        <v>0</v>
      </c>
      <c r="FH5" t="e">
        <f>AND(Output!#REF!,"AAAAAH9/r6M=")</f>
        <v>#REF!</v>
      </c>
      <c r="FI5" t="e">
        <f>AND(Output!B6,"AAAAAH9/r6Q=")</f>
        <v>#VALUE!</v>
      </c>
      <c r="FJ5" t="e">
        <f>AND(Output!#REF!,"AAAAAH9/r6U=")</f>
        <v>#REF!</v>
      </c>
      <c r="FK5" t="e">
        <f>AND(Output!#REF!,"AAAAAH9/r6Y=")</f>
        <v>#REF!</v>
      </c>
      <c r="FL5" t="e">
        <f>AND(Output!C6,"AAAAAH9/r6c=")</f>
        <v>#VALUE!</v>
      </c>
      <c r="FM5" t="e">
        <f>AND(Output!D6,"AAAAAH9/r6g=")</f>
        <v>#VALUE!</v>
      </c>
      <c r="FN5" t="e">
        <f>AND(Output!E6,"AAAAAH9/r6k=")</f>
        <v>#VALUE!</v>
      </c>
      <c r="FO5" t="e">
        <f>AND(Output!F6,"AAAAAH9/r6o=")</f>
        <v>#VALUE!</v>
      </c>
      <c r="FP5" t="e">
        <f>AND(Output!G6,"AAAAAH9/r6s=")</f>
        <v>#VALUE!</v>
      </c>
      <c r="FQ5" t="e">
        <f>AND(Output!H6,"AAAAAH9/r6w=")</f>
        <v>#VALUE!</v>
      </c>
      <c r="FR5" t="e">
        <f>AND(Output!J6,"AAAAAH9/r60=")</f>
        <v>#VALUE!</v>
      </c>
      <c r="FS5" t="e">
        <f>AND(Output!K6,"AAAAAH9/r64=")</f>
        <v>#VALUE!</v>
      </c>
      <c r="FT5" t="e">
        <f>IF(Output!#REF!,"AAAAAH9/r68=",0)</f>
        <v>#REF!</v>
      </c>
      <c r="FU5" t="e">
        <f>AND(Output!#REF!,"AAAAAH9/r7A=")</f>
        <v>#REF!</v>
      </c>
      <c r="FV5" t="e">
        <f>AND(Output!#REF!,"AAAAAH9/r7E=")</f>
        <v>#REF!</v>
      </c>
      <c r="FW5" t="e">
        <f>AND(Output!#REF!,"AAAAAH9/r7I=")</f>
        <v>#REF!</v>
      </c>
      <c r="FX5" t="e">
        <f>AND(Output!#REF!,"AAAAAH9/r7M=")</f>
        <v>#REF!</v>
      </c>
      <c r="FY5" t="e">
        <f>AND(Output!#REF!,"AAAAAH9/r7Q=")</f>
        <v>#REF!</v>
      </c>
      <c r="FZ5" t="e">
        <f>AND(Output!#REF!,"AAAAAH9/r7U=")</f>
        <v>#REF!</v>
      </c>
      <c r="GA5" t="e">
        <f>AND(Output!#REF!,"AAAAAH9/r7Y=")</f>
        <v>#REF!</v>
      </c>
      <c r="GB5" t="e">
        <f>AND(Output!#REF!,"AAAAAH9/r7c=")</f>
        <v>#REF!</v>
      </c>
      <c r="GC5" t="e">
        <f>AND(Output!#REF!,"AAAAAH9/r7g=")</f>
        <v>#REF!</v>
      </c>
      <c r="GD5" t="e">
        <f>AND(Output!#REF!,"AAAAAH9/r7k=")</f>
        <v>#REF!</v>
      </c>
      <c r="GE5" t="e">
        <f>AND(Output!#REF!,"AAAAAH9/r7o=")</f>
        <v>#REF!</v>
      </c>
      <c r="GF5" t="e">
        <f>AND(Output!#REF!,"AAAAAH9/r7s=")</f>
        <v>#REF!</v>
      </c>
      <c r="GG5" t="e">
        <f>IF(Output!#REF!,"AAAAAH9/r7w=",0)</f>
        <v>#REF!</v>
      </c>
      <c r="GH5" t="e">
        <f>AND(Output!#REF!,"AAAAAH9/r70=")</f>
        <v>#REF!</v>
      </c>
      <c r="GI5" t="e">
        <f>AND(Output!#REF!,"AAAAAH9/r74=")</f>
        <v>#REF!</v>
      </c>
      <c r="GJ5" t="e">
        <f>AND(Output!#REF!,"AAAAAH9/r78=")</f>
        <v>#REF!</v>
      </c>
      <c r="GK5" t="e">
        <f>AND(Output!#REF!,"AAAAAH9/r8A=")</f>
        <v>#REF!</v>
      </c>
      <c r="GL5" t="e">
        <f>AND(Output!#REF!,"AAAAAH9/r8E=")</f>
        <v>#REF!</v>
      </c>
      <c r="GM5" t="e">
        <f>AND(Output!#REF!,"AAAAAH9/r8I=")</f>
        <v>#REF!</v>
      </c>
      <c r="GN5" t="e">
        <f>AND(Output!#REF!,"AAAAAH9/r8M=")</f>
        <v>#REF!</v>
      </c>
      <c r="GO5" t="e">
        <f>AND(Output!#REF!,"AAAAAH9/r8Q=")</f>
        <v>#REF!</v>
      </c>
      <c r="GP5" t="e">
        <f>AND(Output!#REF!,"AAAAAH9/r8U=")</f>
        <v>#REF!</v>
      </c>
      <c r="GQ5" t="e">
        <f>AND(Output!#REF!,"AAAAAH9/r8Y=")</f>
        <v>#REF!</v>
      </c>
      <c r="GR5" t="e">
        <f>AND(Output!#REF!,"AAAAAH9/r8c=")</f>
        <v>#REF!</v>
      </c>
      <c r="GS5" t="e">
        <f>AND(Output!#REF!,"AAAAAH9/r8g=")</f>
        <v>#REF!</v>
      </c>
      <c r="GT5" t="e">
        <f>IF(Output!#REF!,"AAAAAH9/r8k=",0)</f>
        <v>#REF!</v>
      </c>
      <c r="GU5" t="e">
        <f>AND(Output!#REF!,"AAAAAH9/r8o=")</f>
        <v>#REF!</v>
      </c>
      <c r="GV5" t="e">
        <f>AND(Output!#REF!,"AAAAAH9/r8s=")</f>
        <v>#REF!</v>
      </c>
      <c r="GW5" t="e">
        <f>AND(Output!#REF!,"AAAAAH9/r8w=")</f>
        <v>#REF!</v>
      </c>
      <c r="GX5" t="e">
        <f>AND(Output!#REF!,"AAAAAH9/r80=")</f>
        <v>#REF!</v>
      </c>
      <c r="GY5" t="e">
        <f>AND(Output!#REF!,"AAAAAH9/r84=")</f>
        <v>#REF!</v>
      </c>
      <c r="GZ5" t="e">
        <f>AND(Output!#REF!,"AAAAAH9/r88=")</f>
        <v>#REF!</v>
      </c>
      <c r="HA5" t="e">
        <f>AND(Output!#REF!,"AAAAAH9/r9A=")</f>
        <v>#REF!</v>
      </c>
      <c r="HB5" t="e">
        <f>AND(Output!#REF!,"AAAAAH9/r9E=")</f>
        <v>#REF!</v>
      </c>
      <c r="HC5" t="e">
        <f>AND(Output!#REF!,"AAAAAH9/r9I=")</f>
        <v>#REF!</v>
      </c>
      <c r="HD5" t="e">
        <f>AND(Output!#REF!,"AAAAAH9/r9M=")</f>
        <v>#REF!</v>
      </c>
      <c r="HE5" t="e">
        <f>AND(Output!#REF!,"AAAAAH9/r9Q=")</f>
        <v>#REF!</v>
      </c>
      <c r="HF5" t="e">
        <f>AND(Output!#REF!,"AAAAAH9/r9U=")</f>
        <v>#REF!</v>
      </c>
      <c r="HG5" t="e">
        <f>IF(Output!#REF!,"AAAAAH9/r9Y=",0)</f>
        <v>#REF!</v>
      </c>
      <c r="HH5" t="e">
        <f>AND(Output!#REF!,"AAAAAH9/r9c=")</f>
        <v>#REF!</v>
      </c>
      <c r="HI5" t="e">
        <f>AND(Output!#REF!,"AAAAAH9/r9g=")</f>
        <v>#REF!</v>
      </c>
      <c r="HJ5" t="e">
        <f>AND(Output!#REF!,"AAAAAH9/r9k=")</f>
        <v>#REF!</v>
      </c>
      <c r="HK5" t="e">
        <f>AND(Output!#REF!,"AAAAAH9/r9o=")</f>
        <v>#REF!</v>
      </c>
      <c r="HL5" t="e">
        <f>AND(Output!#REF!,"AAAAAH9/r9s=")</f>
        <v>#REF!</v>
      </c>
      <c r="HM5" t="e">
        <f>AND(Output!#REF!,"AAAAAH9/r9w=")</f>
        <v>#REF!</v>
      </c>
      <c r="HN5" t="e">
        <f>AND(Output!#REF!,"AAAAAH9/r90=")</f>
        <v>#REF!</v>
      </c>
      <c r="HO5" t="e">
        <f>AND(Output!#REF!,"AAAAAH9/r94=")</f>
        <v>#REF!</v>
      </c>
      <c r="HP5" t="e">
        <f>AND(Output!#REF!,"AAAAAH9/r98=")</f>
        <v>#REF!</v>
      </c>
      <c r="HQ5" t="e">
        <f>AND(Output!#REF!,"AAAAAH9/r+A=")</f>
        <v>#REF!</v>
      </c>
      <c r="HR5" t="e">
        <f>AND(Output!#REF!,"AAAAAH9/r+E=")</f>
        <v>#REF!</v>
      </c>
      <c r="HS5" t="e">
        <f>AND(Output!#REF!,"AAAAAH9/r+I=")</f>
        <v>#REF!</v>
      </c>
      <c r="HT5" t="e">
        <f>IF(Output!#REF!,"AAAAAH9/r+M=",0)</f>
        <v>#REF!</v>
      </c>
      <c r="HU5" t="e">
        <f>AND(Output!#REF!,"AAAAAH9/r+Q=")</f>
        <v>#REF!</v>
      </c>
      <c r="HV5" t="e">
        <f>AND(Output!#REF!,"AAAAAH9/r+U=")</f>
        <v>#REF!</v>
      </c>
      <c r="HW5" t="e">
        <f>AND(Output!#REF!,"AAAAAH9/r+Y=")</f>
        <v>#REF!</v>
      </c>
      <c r="HX5" t="e">
        <f>AND(Output!#REF!,"AAAAAH9/r+c=")</f>
        <v>#REF!</v>
      </c>
      <c r="HY5" t="e">
        <f>AND(Output!#REF!,"AAAAAH9/r+g=")</f>
        <v>#REF!</v>
      </c>
      <c r="HZ5" t="e">
        <f>AND(Output!#REF!,"AAAAAH9/r+k=")</f>
        <v>#REF!</v>
      </c>
      <c r="IA5" t="e">
        <f>AND(Output!#REF!,"AAAAAH9/r+o=")</f>
        <v>#REF!</v>
      </c>
      <c r="IB5" t="e">
        <f>AND(Output!#REF!,"AAAAAH9/r+s=")</f>
        <v>#REF!</v>
      </c>
      <c r="IC5" t="e">
        <f>AND(Output!#REF!,"AAAAAH9/r+w=")</f>
        <v>#REF!</v>
      </c>
      <c r="ID5" t="e">
        <f>AND(Output!#REF!,"AAAAAH9/r+0=")</f>
        <v>#REF!</v>
      </c>
      <c r="IE5" t="e">
        <f>AND(Output!#REF!,"AAAAAH9/r+4=")</f>
        <v>#REF!</v>
      </c>
      <c r="IF5" t="e">
        <f>AND(Output!#REF!,"AAAAAH9/r+8=")</f>
        <v>#REF!</v>
      </c>
      <c r="IG5" t="e">
        <f>IF(Output!#REF!,"AAAAAH9/r/A=",0)</f>
        <v>#REF!</v>
      </c>
      <c r="IH5" t="e">
        <f>AND(Output!#REF!,"AAAAAH9/r/E=")</f>
        <v>#REF!</v>
      </c>
      <c r="II5" t="e">
        <f>AND(Output!#REF!,"AAAAAH9/r/I=")</f>
        <v>#REF!</v>
      </c>
      <c r="IJ5" t="e">
        <f>AND(Output!#REF!,"AAAAAH9/r/M=")</f>
        <v>#REF!</v>
      </c>
      <c r="IK5" t="e">
        <f>AND(Output!#REF!,"AAAAAH9/r/Q=")</f>
        <v>#REF!</v>
      </c>
      <c r="IL5" t="e">
        <f>AND(Output!#REF!,"AAAAAH9/r/U=")</f>
        <v>#REF!</v>
      </c>
      <c r="IM5" t="e">
        <f>AND(Output!#REF!,"AAAAAH9/r/Y=")</f>
        <v>#REF!</v>
      </c>
      <c r="IN5" t="e">
        <f>AND(Output!#REF!,"AAAAAH9/r/c=")</f>
        <v>#REF!</v>
      </c>
      <c r="IO5" t="e">
        <f>AND(Output!#REF!,"AAAAAH9/r/g=")</f>
        <v>#REF!</v>
      </c>
      <c r="IP5" t="e">
        <f>AND(Output!#REF!,"AAAAAH9/r/k=")</f>
        <v>#REF!</v>
      </c>
      <c r="IQ5" t="e">
        <f>AND(Output!#REF!,"AAAAAH9/r/o=")</f>
        <v>#REF!</v>
      </c>
      <c r="IR5" t="e">
        <f>AND(Output!#REF!,"AAAAAH9/r/s=")</f>
        <v>#REF!</v>
      </c>
      <c r="IS5" t="e">
        <f>AND(Output!#REF!,"AAAAAH9/r/w=")</f>
        <v>#REF!</v>
      </c>
      <c r="IT5" t="e">
        <f>IF(Output!#REF!,"AAAAAH9/r/0=",0)</f>
        <v>#REF!</v>
      </c>
      <c r="IU5" t="e">
        <f>AND(Output!#REF!,"AAAAAH9/r/4=")</f>
        <v>#REF!</v>
      </c>
      <c r="IV5" t="e">
        <f>AND(Output!#REF!,"AAAAAH9/r/8=")</f>
        <v>#REF!</v>
      </c>
    </row>
    <row r="6" spans="1:256">
      <c r="A6" t="e">
        <f>AND(Output!#REF!,"AAAAAH9/ewA=")</f>
        <v>#REF!</v>
      </c>
      <c r="B6" t="e">
        <f>AND(Output!#REF!,"AAAAAH9/ewE=")</f>
        <v>#REF!</v>
      </c>
      <c r="C6" t="e">
        <f>AND(Output!#REF!,"AAAAAH9/ewI=")</f>
        <v>#REF!</v>
      </c>
      <c r="D6" t="e">
        <f>AND(Output!#REF!,"AAAAAH9/ewM=")</f>
        <v>#REF!</v>
      </c>
      <c r="E6" t="e">
        <f>AND(Output!#REF!,"AAAAAH9/ewQ=")</f>
        <v>#REF!</v>
      </c>
      <c r="F6" t="e">
        <f>AND(Output!#REF!,"AAAAAH9/ewU=")</f>
        <v>#REF!</v>
      </c>
      <c r="G6" t="e">
        <f>AND(Output!#REF!,"AAAAAH9/ewY=")</f>
        <v>#REF!</v>
      </c>
      <c r="H6" t="e">
        <f>AND(Output!#REF!,"AAAAAH9/ewc=")</f>
        <v>#REF!</v>
      </c>
      <c r="I6" t="e">
        <f>AND(Output!#REF!,"AAAAAH9/ewg=")</f>
        <v>#REF!</v>
      </c>
      <c r="J6" t="e">
        <f>AND(Output!#REF!,"AAAAAH9/ewk=")</f>
        <v>#REF!</v>
      </c>
      <c r="K6" t="e">
        <f>IF(Output!#REF!,"AAAAAH9/ewo=",0)</f>
        <v>#REF!</v>
      </c>
      <c r="L6" t="e">
        <f>AND(Output!#REF!,"AAAAAH9/ews=")</f>
        <v>#REF!</v>
      </c>
      <c r="M6" t="e">
        <f>AND(Output!#REF!,"AAAAAH9/eww=")</f>
        <v>#REF!</v>
      </c>
      <c r="N6" t="e">
        <f>AND(Output!#REF!,"AAAAAH9/ew0=")</f>
        <v>#REF!</v>
      </c>
      <c r="O6" t="e">
        <f>AND(Output!#REF!,"AAAAAH9/ew4=")</f>
        <v>#REF!</v>
      </c>
      <c r="P6" t="e">
        <f>AND(Output!#REF!,"AAAAAH9/ew8=")</f>
        <v>#REF!</v>
      </c>
      <c r="Q6" t="e">
        <f>AND(Output!#REF!,"AAAAAH9/exA=")</f>
        <v>#REF!</v>
      </c>
      <c r="R6" t="e">
        <f>AND(Output!#REF!,"AAAAAH9/exE=")</f>
        <v>#REF!</v>
      </c>
      <c r="S6" t="e">
        <f>AND(Output!#REF!,"AAAAAH9/exI=")</f>
        <v>#REF!</v>
      </c>
      <c r="T6" t="e">
        <f>AND(Output!#REF!,"AAAAAH9/exM=")</f>
        <v>#REF!</v>
      </c>
      <c r="U6" t="e">
        <f>AND(Output!#REF!,"AAAAAH9/exQ=")</f>
        <v>#REF!</v>
      </c>
      <c r="V6" t="e">
        <f>AND(Output!#REF!,"AAAAAH9/exU=")</f>
        <v>#REF!</v>
      </c>
      <c r="W6" t="e">
        <f>AND(Output!#REF!,"AAAAAH9/exY=")</f>
        <v>#REF!</v>
      </c>
      <c r="X6" t="e">
        <f>IF(Output!#REF!,"AAAAAH9/exc=",0)</f>
        <v>#REF!</v>
      </c>
      <c r="Y6" t="e">
        <f>AND(Output!#REF!,"AAAAAH9/exg=")</f>
        <v>#REF!</v>
      </c>
      <c r="Z6" t="e">
        <f>AND(Output!#REF!,"AAAAAH9/exk=")</f>
        <v>#REF!</v>
      </c>
      <c r="AA6" t="e">
        <f>AND(Output!#REF!,"AAAAAH9/exo=")</f>
        <v>#REF!</v>
      </c>
      <c r="AB6" t="e">
        <f>AND(Output!#REF!,"AAAAAH9/exs=")</f>
        <v>#REF!</v>
      </c>
      <c r="AC6" t="e">
        <f>AND(Output!#REF!,"AAAAAH9/exw=")</f>
        <v>#REF!</v>
      </c>
      <c r="AD6" t="e">
        <f>AND(Output!#REF!,"AAAAAH9/ex0=")</f>
        <v>#REF!</v>
      </c>
      <c r="AE6" t="e">
        <f>AND(Output!#REF!,"AAAAAH9/ex4=")</f>
        <v>#REF!</v>
      </c>
      <c r="AF6" t="e">
        <f>AND(Output!#REF!,"AAAAAH9/ex8=")</f>
        <v>#REF!</v>
      </c>
      <c r="AG6" t="e">
        <f>AND(Output!#REF!,"AAAAAH9/eyA=")</f>
        <v>#REF!</v>
      </c>
      <c r="AH6" t="e">
        <f>AND(Output!#REF!,"AAAAAH9/eyE=")</f>
        <v>#REF!</v>
      </c>
      <c r="AI6" t="e">
        <f>AND(Output!#REF!,"AAAAAH9/eyI=")</f>
        <v>#REF!</v>
      </c>
      <c r="AJ6" t="e">
        <f>AND(Output!#REF!,"AAAAAH9/eyM=")</f>
        <v>#REF!</v>
      </c>
      <c r="AK6" t="e">
        <f>IF(Output!#REF!,"AAAAAH9/eyQ=",0)</f>
        <v>#REF!</v>
      </c>
      <c r="AL6" t="e">
        <f>AND(Output!#REF!,"AAAAAH9/eyU=")</f>
        <v>#REF!</v>
      </c>
      <c r="AM6" t="e">
        <f>AND(Output!#REF!,"AAAAAH9/eyY=")</f>
        <v>#REF!</v>
      </c>
      <c r="AN6" t="e">
        <f>AND(Output!#REF!,"AAAAAH9/eyc=")</f>
        <v>#REF!</v>
      </c>
      <c r="AO6" t="e">
        <f>AND(Output!#REF!,"AAAAAH9/eyg=")</f>
        <v>#REF!</v>
      </c>
      <c r="AP6" t="e">
        <f>AND(Output!#REF!,"AAAAAH9/eyk=")</f>
        <v>#REF!</v>
      </c>
      <c r="AQ6" t="e">
        <f>AND(Output!#REF!,"AAAAAH9/eyo=")</f>
        <v>#REF!</v>
      </c>
      <c r="AR6" t="e">
        <f>AND(Output!#REF!,"AAAAAH9/eys=")</f>
        <v>#REF!</v>
      </c>
      <c r="AS6" t="e">
        <f>AND(Output!#REF!,"AAAAAH9/eyw=")</f>
        <v>#REF!</v>
      </c>
      <c r="AT6" t="e">
        <f>AND(Output!#REF!,"AAAAAH9/ey0=")</f>
        <v>#REF!</v>
      </c>
      <c r="AU6" t="e">
        <f>AND(Output!#REF!,"AAAAAH9/ey4=")</f>
        <v>#REF!</v>
      </c>
      <c r="AV6" t="e">
        <f>AND(Output!#REF!,"AAAAAH9/ey8=")</f>
        <v>#REF!</v>
      </c>
      <c r="AW6" t="e">
        <f>AND(Output!#REF!,"AAAAAH9/ezA=")</f>
        <v>#REF!</v>
      </c>
      <c r="AX6" t="e">
        <f>IF(Output!#REF!,"AAAAAH9/ezE=",0)</f>
        <v>#REF!</v>
      </c>
      <c r="AY6" t="e">
        <f>AND(Output!#REF!,"AAAAAH9/ezI=")</f>
        <v>#REF!</v>
      </c>
      <c r="AZ6" t="e">
        <f>AND(Output!#REF!,"AAAAAH9/ezM=")</f>
        <v>#REF!</v>
      </c>
      <c r="BA6" t="e">
        <f>AND(Output!#REF!,"AAAAAH9/ezQ=")</f>
        <v>#REF!</v>
      </c>
      <c r="BB6" t="e">
        <f>AND(Output!#REF!,"AAAAAH9/ezU=")</f>
        <v>#REF!</v>
      </c>
      <c r="BC6" t="e">
        <f>AND(Output!#REF!,"AAAAAH9/ezY=")</f>
        <v>#REF!</v>
      </c>
      <c r="BD6" t="e">
        <f>AND(Output!#REF!,"AAAAAH9/ezc=")</f>
        <v>#REF!</v>
      </c>
      <c r="BE6" t="e">
        <f>AND(Output!#REF!,"AAAAAH9/ezg=")</f>
        <v>#REF!</v>
      </c>
      <c r="BF6" t="e">
        <f>AND(Output!#REF!,"AAAAAH9/ezk=")</f>
        <v>#REF!</v>
      </c>
      <c r="BG6" t="e">
        <f>AND(Output!#REF!,"AAAAAH9/ezo=")</f>
        <v>#REF!</v>
      </c>
      <c r="BH6" t="e">
        <f>AND(Output!#REF!,"AAAAAH9/ezs=")</f>
        <v>#REF!</v>
      </c>
      <c r="BI6" t="e">
        <f>AND(Output!#REF!,"AAAAAH9/ezw=")</f>
        <v>#REF!</v>
      </c>
      <c r="BJ6" t="e">
        <f>AND(Output!#REF!,"AAAAAH9/ez0=")</f>
        <v>#REF!</v>
      </c>
      <c r="BK6" t="e">
        <f>IF(Output!#REF!,"AAAAAH9/ez4=",0)</f>
        <v>#REF!</v>
      </c>
      <c r="BL6" t="e">
        <f>AND(Output!#REF!,"AAAAAH9/ez8=")</f>
        <v>#REF!</v>
      </c>
      <c r="BM6" t="e">
        <f>AND(Output!#REF!,"AAAAAH9/e0A=")</f>
        <v>#REF!</v>
      </c>
      <c r="BN6" t="e">
        <f>AND(Output!#REF!,"AAAAAH9/e0E=")</f>
        <v>#REF!</v>
      </c>
      <c r="BO6" t="e">
        <f>AND(Output!#REF!,"AAAAAH9/e0I=")</f>
        <v>#REF!</v>
      </c>
      <c r="BP6" t="e">
        <f>AND(Output!#REF!,"AAAAAH9/e0M=")</f>
        <v>#REF!</v>
      </c>
      <c r="BQ6" t="e">
        <f>AND(Output!#REF!,"AAAAAH9/e0Q=")</f>
        <v>#REF!</v>
      </c>
      <c r="BR6" t="e">
        <f>AND(Output!#REF!,"AAAAAH9/e0U=")</f>
        <v>#REF!</v>
      </c>
      <c r="BS6" t="e">
        <f>AND(Output!#REF!,"AAAAAH9/e0Y=")</f>
        <v>#REF!</v>
      </c>
      <c r="BT6" t="e">
        <f>AND(Output!#REF!,"AAAAAH9/e0c=")</f>
        <v>#REF!</v>
      </c>
      <c r="BU6" t="e">
        <f>AND(Output!#REF!,"AAAAAH9/e0g=")</f>
        <v>#REF!</v>
      </c>
      <c r="BV6" t="e">
        <f>AND(Output!#REF!,"AAAAAH9/e0k=")</f>
        <v>#REF!</v>
      </c>
      <c r="BW6" t="e">
        <f>AND(Output!#REF!,"AAAAAH9/e0o=")</f>
        <v>#REF!</v>
      </c>
      <c r="BX6" t="e">
        <f>IF(Output!#REF!,"AAAAAH9/e0s=",0)</f>
        <v>#REF!</v>
      </c>
      <c r="BY6" t="e">
        <f>AND(Output!#REF!,"AAAAAH9/e0w=")</f>
        <v>#REF!</v>
      </c>
      <c r="BZ6" t="e">
        <f>AND(Output!#REF!,"AAAAAH9/e00=")</f>
        <v>#REF!</v>
      </c>
      <c r="CA6" t="e">
        <f>AND(Output!#REF!,"AAAAAH9/e04=")</f>
        <v>#REF!</v>
      </c>
      <c r="CB6" t="e">
        <f>AND(Output!#REF!,"AAAAAH9/e08=")</f>
        <v>#REF!</v>
      </c>
      <c r="CC6" t="e">
        <f>AND(Output!#REF!,"AAAAAH9/e1A=")</f>
        <v>#REF!</v>
      </c>
      <c r="CD6" t="e">
        <f>AND(Output!#REF!,"AAAAAH9/e1E=")</f>
        <v>#REF!</v>
      </c>
      <c r="CE6" t="e">
        <f>AND(Output!#REF!,"AAAAAH9/e1I=")</f>
        <v>#REF!</v>
      </c>
      <c r="CF6" t="e">
        <f>AND(Output!#REF!,"AAAAAH9/e1M=")</f>
        <v>#REF!</v>
      </c>
      <c r="CG6" t="e">
        <f>AND(Output!#REF!,"AAAAAH9/e1Q=")</f>
        <v>#REF!</v>
      </c>
      <c r="CH6" t="e">
        <f>AND(Output!#REF!,"AAAAAH9/e1U=")</f>
        <v>#REF!</v>
      </c>
      <c r="CI6" t="e">
        <f>AND(Output!#REF!,"AAAAAH9/e1Y=")</f>
        <v>#REF!</v>
      </c>
      <c r="CJ6" t="e">
        <f>AND(Output!#REF!,"AAAAAH9/e1c=")</f>
        <v>#REF!</v>
      </c>
      <c r="CK6" t="e">
        <f>IF(Output!#REF!,"AAAAAH9/e1g=",0)</f>
        <v>#REF!</v>
      </c>
      <c r="CL6" t="e">
        <f>AND(Output!#REF!,"AAAAAH9/e1k=")</f>
        <v>#REF!</v>
      </c>
      <c r="CM6" t="e">
        <f>AND(Output!#REF!,"AAAAAH9/e1o=")</f>
        <v>#REF!</v>
      </c>
      <c r="CN6" t="e">
        <f>AND(Output!#REF!,"AAAAAH9/e1s=")</f>
        <v>#REF!</v>
      </c>
      <c r="CO6" t="e">
        <f>AND(Output!#REF!,"AAAAAH9/e1w=")</f>
        <v>#REF!</v>
      </c>
      <c r="CP6" t="e">
        <f>AND(Output!#REF!,"AAAAAH9/e10=")</f>
        <v>#REF!</v>
      </c>
      <c r="CQ6" t="e">
        <f>AND(Output!#REF!,"AAAAAH9/e14=")</f>
        <v>#REF!</v>
      </c>
      <c r="CR6" t="e">
        <f>AND(Output!#REF!,"AAAAAH9/e18=")</f>
        <v>#REF!</v>
      </c>
      <c r="CS6" t="e">
        <f>AND(Output!#REF!,"AAAAAH9/e2A=")</f>
        <v>#REF!</v>
      </c>
      <c r="CT6" t="e">
        <f>AND(Output!#REF!,"AAAAAH9/e2E=")</f>
        <v>#REF!</v>
      </c>
      <c r="CU6" t="e">
        <f>AND(Output!#REF!,"AAAAAH9/e2I=")</f>
        <v>#REF!</v>
      </c>
      <c r="CV6" t="e">
        <f>AND(Output!#REF!,"AAAAAH9/e2M=")</f>
        <v>#REF!</v>
      </c>
      <c r="CW6" t="e">
        <f>AND(Output!#REF!,"AAAAAH9/e2Q=")</f>
        <v>#REF!</v>
      </c>
      <c r="CX6" t="e">
        <f>IF(Output!#REF!,"AAAAAH9/e2U=",0)</f>
        <v>#REF!</v>
      </c>
      <c r="CY6" t="e">
        <f>AND(Output!#REF!,"AAAAAH9/e2Y=")</f>
        <v>#REF!</v>
      </c>
      <c r="CZ6" t="e">
        <f>AND(Output!#REF!,"AAAAAH9/e2c=")</f>
        <v>#REF!</v>
      </c>
      <c r="DA6" t="e">
        <f>AND(Output!#REF!,"AAAAAH9/e2g=")</f>
        <v>#REF!</v>
      </c>
      <c r="DB6" t="e">
        <f>AND(Output!#REF!,"AAAAAH9/e2k=")</f>
        <v>#REF!</v>
      </c>
      <c r="DC6" t="e">
        <f>AND(Output!#REF!,"AAAAAH9/e2o=")</f>
        <v>#REF!</v>
      </c>
      <c r="DD6" t="e">
        <f>AND(Output!#REF!,"AAAAAH9/e2s=")</f>
        <v>#REF!</v>
      </c>
      <c r="DE6" t="e">
        <f>AND(Output!#REF!,"AAAAAH9/e2w=")</f>
        <v>#REF!</v>
      </c>
      <c r="DF6" t="e">
        <f>AND(Output!#REF!,"AAAAAH9/e20=")</f>
        <v>#REF!</v>
      </c>
      <c r="DG6" t="e">
        <f>AND(Output!#REF!,"AAAAAH9/e24=")</f>
        <v>#REF!</v>
      </c>
      <c r="DH6" t="e">
        <f>AND(Output!#REF!,"AAAAAH9/e28=")</f>
        <v>#REF!</v>
      </c>
      <c r="DI6" t="e">
        <f>AND(Output!#REF!,"AAAAAH9/e3A=")</f>
        <v>#REF!</v>
      </c>
      <c r="DJ6" t="e">
        <f>AND(Output!#REF!,"AAAAAH9/e3E=")</f>
        <v>#REF!</v>
      </c>
      <c r="DK6" t="e">
        <f>IF(Output!#REF!,"AAAAAH9/e3I=",0)</f>
        <v>#REF!</v>
      </c>
      <c r="DL6" t="e">
        <f>AND(Output!#REF!,"AAAAAH9/e3M=")</f>
        <v>#REF!</v>
      </c>
      <c r="DM6" t="e">
        <f>AND(Output!#REF!,"AAAAAH9/e3Q=")</f>
        <v>#REF!</v>
      </c>
      <c r="DN6" t="e">
        <f>AND(Output!#REF!,"AAAAAH9/e3U=")</f>
        <v>#REF!</v>
      </c>
      <c r="DO6" t="e">
        <f>AND(Output!#REF!,"AAAAAH9/e3Y=")</f>
        <v>#REF!</v>
      </c>
      <c r="DP6" t="e">
        <f>AND(Output!#REF!,"AAAAAH9/e3c=")</f>
        <v>#REF!</v>
      </c>
      <c r="DQ6" t="e">
        <f>AND(Output!#REF!,"AAAAAH9/e3g=")</f>
        <v>#REF!</v>
      </c>
      <c r="DR6" t="e">
        <f>AND(Output!#REF!,"AAAAAH9/e3k=")</f>
        <v>#REF!</v>
      </c>
      <c r="DS6" t="e">
        <f>AND(Output!#REF!,"AAAAAH9/e3o=")</f>
        <v>#REF!</v>
      </c>
      <c r="DT6" t="e">
        <f>AND(Output!#REF!,"AAAAAH9/e3s=")</f>
        <v>#REF!</v>
      </c>
      <c r="DU6" t="e">
        <f>AND(Output!#REF!,"AAAAAH9/e3w=")</f>
        <v>#REF!</v>
      </c>
      <c r="DV6" t="e">
        <f>AND(Output!#REF!,"AAAAAH9/e30=")</f>
        <v>#REF!</v>
      </c>
      <c r="DW6" t="e">
        <f>AND(Output!#REF!,"AAAAAH9/e34=")</f>
        <v>#REF!</v>
      </c>
      <c r="DX6" t="e">
        <f>IF(Output!#REF!,"AAAAAH9/e38=",0)</f>
        <v>#REF!</v>
      </c>
      <c r="DY6" t="e">
        <f>AND(Output!#REF!,"AAAAAH9/e4A=")</f>
        <v>#REF!</v>
      </c>
      <c r="DZ6" t="e">
        <f>AND(Output!#REF!,"AAAAAH9/e4E=")</f>
        <v>#REF!</v>
      </c>
      <c r="EA6" t="e">
        <f>AND(Output!#REF!,"AAAAAH9/e4I=")</f>
        <v>#REF!</v>
      </c>
      <c r="EB6" t="e">
        <f>AND(Output!#REF!,"AAAAAH9/e4M=")</f>
        <v>#REF!</v>
      </c>
      <c r="EC6" t="e">
        <f>AND(Output!#REF!,"AAAAAH9/e4Q=")</f>
        <v>#REF!</v>
      </c>
      <c r="ED6" t="e">
        <f>AND(Output!#REF!,"AAAAAH9/e4U=")</f>
        <v>#REF!</v>
      </c>
      <c r="EE6" t="e">
        <f>AND(Output!#REF!,"AAAAAH9/e4Y=")</f>
        <v>#REF!</v>
      </c>
      <c r="EF6" t="e">
        <f>AND(Output!#REF!,"AAAAAH9/e4c=")</f>
        <v>#REF!</v>
      </c>
      <c r="EG6" t="e">
        <f>AND(Output!#REF!,"AAAAAH9/e4g=")</f>
        <v>#REF!</v>
      </c>
      <c r="EH6" t="e">
        <f>AND(Output!#REF!,"AAAAAH9/e4k=")</f>
        <v>#REF!</v>
      </c>
      <c r="EI6" t="e">
        <f>AND(Output!#REF!,"AAAAAH9/e4o=")</f>
        <v>#REF!</v>
      </c>
      <c r="EJ6" t="e">
        <f>AND(Output!#REF!,"AAAAAH9/e4s=")</f>
        <v>#REF!</v>
      </c>
      <c r="EK6" t="e">
        <f>IF(Output!#REF!,"AAAAAH9/e4w=",0)</f>
        <v>#REF!</v>
      </c>
      <c r="EL6" t="e">
        <f>AND(Output!#REF!,"AAAAAH9/e40=")</f>
        <v>#REF!</v>
      </c>
      <c r="EM6" t="e">
        <f>AND(Output!#REF!,"AAAAAH9/e44=")</f>
        <v>#REF!</v>
      </c>
      <c r="EN6" t="e">
        <f>AND(Output!#REF!,"AAAAAH9/e48=")</f>
        <v>#REF!</v>
      </c>
      <c r="EO6" t="e">
        <f>AND(Output!#REF!,"AAAAAH9/e5A=")</f>
        <v>#REF!</v>
      </c>
      <c r="EP6" t="e">
        <f>AND(Output!#REF!,"AAAAAH9/e5E=")</f>
        <v>#REF!</v>
      </c>
      <c r="EQ6" t="e">
        <f>AND(Output!#REF!,"AAAAAH9/e5I=")</f>
        <v>#REF!</v>
      </c>
      <c r="ER6" t="e">
        <f>AND(Output!#REF!,"AAAAAH9/e5M=")</f>
        <v>#REF!</v>
      </c>
      <c r="ES6" t="e">
        <f>AND(Output!#REF!,"AAAAAH9/e5Q=")</f>
        <v>#REF!</v>
      </c>
      <c r="ET6" t="e">
        <f>AND(Output!#REF!,"AAAAAH9/e5U=")</f>
        <v>#REF!</v>
      </c>
      <c r="EU6" t="e">
        <f>AND(Output!#REF!,"AAAAAH9/e5Y=")</f>
        <v>#REF!</v>
      </c>
      <c r="EV6" t="e">
        <f>AND(Output!#REF!,"AAAAAH9/e5c=")</f>
        <v>#REF!</v>
      </c>
      <c r="EW6" t="e">
        <f>AND(Output!#REF!,"AAAAAH9/e5g=")</f>
        <v>#REF!</v>
      </c>
      <c r="EX6" t="e">
        <f>IF(Output!#REF!,"AAAAAH9/e5k=",0)</f>
        <v>#REF!</v>
      </c>
      <c r="EY6" t="e">
        <f>AND(Output!#REF!,"AAAAAH9/e5o=")</f>
        <v>#REF!</v>
      </c>
      <c r="EZ6" t="e">
        <f>AND(Output!#REF!,"AAAAAH9/e5s=")</f>
        <v>#REF!</v>
      </c>
      <c r="FA6" t="e">
        <f>AND(Output!#REF!,"AAAAAH9/e5w=")</f>
        <v>#REF!</v>
      </c>
      <c r="FB6" t="e">
        <f>AND(Output!#REF!,"AAAAAH9/e50=")</f>
        <v>#REF!</v>
      </c>
      <c r="FC6" t="e">
        <f>AND(Output!#REF!,"AAAAAH9/e54=")</f>
        <v>#REF!</v>
      </c>
      <c r="FD6" t="e">
        <f>AND(Output!#REF!,"AAAAAH9/e58=")</f>
        <v>#REF!</v>
      </c>
      <c r="FE6" t="e">
        <f>AND(Output!#REF!,"AAAAAH9/e6A=")</f>
        <v>#REF!</v>
      </c>
      <c r="FF6" t="e">
        <f>AND(Output!#REF!,"AAAAAH9/e6E=")</f>
        <v>#REF!</v>
      </c>
      <c r="FG6" t="e">
        <f>AND(Output!#REF!,"AAAAAH9/e6I=")</f>
        <v>#REF!</v>
      </c>
      <c r="FH6" t="e">
        <f>AND(Output!#REF!,"AAAAAH9/e6M=")</f>
        <v>#REF!</v>
      </c>
      <c r="FI6" t="e">
        <f>AND(Output!#REF!,"AAAAAH9/e6Q=")</f>
        <v>#REF!</v>
      </c>
      <c r="FJ6" t="e">
        <f>AND(Output!#REF!,"AAAAAH9/e6U=")</f>
        <v>#REF!</v>
      </c>
      <c r="FK6" t="e">
        <f>IF(Output!#REF!,"AAAAAH9/e6Y=",0)</f>
        <v>#REF!</v>
      </c>
      <c r="FL6" t="e">
        <f>AND(Output!#REF!,"AAAAAH9/e6c=")</f>
        <v>#REF!</v>
      </c>
      <c r="FM6" t="e">
        <f>AND(Output!#REF!,"AAAAAH9/e6g=")</f>
        <v>#REF!</v>
      </c>
      <c r="FN6" t="e">
        <f>AND(Output!#REF!,"AAAAAH9/e6k=")</f>
        <v>#REF!</v>
      </c>
      <c r="FO6" t="e">
        <f>AND(Output!#REF!,"AAAAAH9/e6o=")</f>
        <v>#REF!</v>
      </c>
      <c r="FP6" t="e">
        <f>AND(Output!#REF!,"AAAAAH9/e6s=")</f>
        <v>#REF!</v>
      </c>
      <c r="FQ6" t="e">
        <f>AND(Output!#REF!,"AAAAAH9/e6w=")</f>
        <v>#REF!</v>
      </c>
      <c r="FR6" t="e">
        <f>AND(Output!#REF!,"AAAAAH9/e60=")</f>
        <v>#REF!</v>
      </c>
      <c r="FS6" t="e">
        <f>AND(Output!#REF!,"AAAAAH9/e64=")</f>
        <v>#REF!</v>
      </c>
      <c r="FT6" t="e">
        <f>AND(Output!#REF!,"AAAAAH9/e68=")</f>
        <v>#REF!</v>
      </c>
      <c r="FU6" t="e">
        <f>AND(Output!#REF!,"AAAAAH9/e7A=")</f>
        <v>#REF!</v>
      </c>
      <c r="FV6" t="e">
        <f>AND(Output!#REF!,"AAAAAH9/e7E=")</f>
        <v>#REF!</v>
      </c>
      <c r="FW6" t="e">
        <f>AND(Output!#REF!,"AAAAAH9/e7I=")</f>
        <v>#REF!</v>
      </c>
      <c r="FX6" t="e">
        <f>IF(Output!#REF!,"AAAAAH9/e7M=",0)</f>
        <v>#REF!</v>
      </c>
      <c r="FY6" t="e">
        <f>AND(Output!#REF!,"AAAAAH9/e7Q=")</f>
        <v>#REF!</v>
      </c>
      <c r="FZ6" t="e">
        <f>AND(Output!#REF!,"AAAAAH9/e7U=")</f>
        <v>#REF!</v>
      </c>
      <c r="GA6" t="e">
        <f>AND(Output!#REF!,"AAAAAH9/e7Y=")</f>
        <v>#REF!</v>
      </c>
      <c r="GB6" t="e">
        <f>AND(Output!#REF!,"AAAAAH9/e7c=")</f>
        <v>#REF!</v>
      </c>
      <c r="GC6" t="e">
        <f>AND(Output!#REF!,"AAAAAH9/e7g=")</f>
        <v>#REF!</v>
      </c>
      <c r="GD6" t="e">
        <f>AND(Output!#REF!,"AAAAAH9/e7k=")</f>
        <v>#REF!</v>
      </c>
      <c r="GE6" t="e">
        <f>AND(Output!#REF!,"AAAAAH9/e7o=")</f>
        <v>#REF!</v>
      </c>
      <c r="GF6" t="e">
        <f>AND(Output!#REF!,"AAAAAH9/e7s=")</f>
        <v>#REF!</v>
      </c>
      <c r="GG6" t="e">
        <f>AND(Output!#REF!,"AAAAAH9/e7w=")</f>
        <v>#REF!</v>
      </c>
      <c r="GH6" t="e">
        <f>AND(Output!#REF!,"AAAAAH9/e70=")</f>
        <v>#REF!</v>
      </c>
      <c r="GI6" t="e">
        <f>AND(Output!#REF!,"AAAAAH9/e74=")</f>
        <v>#REF!</v>
      </c>
      <c r="GJ6" t="e">
        <f>AND(Output!#REF!,"AAAAAH9/e78=")</f>
        <v>#REF!</v>
      </c>
      <c r="GK6" t="e">
        <f>IF(Output!#REF!,"AAAAAH9/e8A=",0)</f>
        <v>#REF!</v>
      </c>
      <c r="GL6" t="e">
        <f>AND(Output!#REF!,"AAAAAH9/e8E=")</f>
        <v>#REF!</v>
      </c>
      <c r="GM6" t="e">
        <f>AND(Output!#REF!,"AAAAAH9/e8I=")</f>
        <v>#REF!</v>
      </c>
      <c r="GN6" t="e">
        <f>AND(Output!#REF!,"AAAAAH9/e8M=")</f>
        <v>#REF!</v>
      </c>
      <c r="GO6" t="e">
        <f>AND(Output!#REF!,"AAAAAH9/e8Q=")</f>
        <v>#REF!</v>
      </c>
      <c r="GP6" t="e">
        <f>AND(Output!#REF!,"AAAAAH9/e8U=")</f>
        <v>#REF!</v>
      </c>
      <c r="GQ6" t="e">
        <f>AND(Output!#REF!,"AAAAAH9/e8Y=")</f>
        <v>#REF!</v>
      </c>
      <c r="GR6" t="e">
        <f>AND(Output!#REF!,"AAAAAH9/e8c=")</f>
        <v>#REF!</v>
      </c>
      <c r="GS6" t="e">
        <f>AND(Output!#REF!,"AAAAAH9/e8g=")</f>
        <v>#REF!</v>
      </c>
      <c r="GT6" t="e">
        <f>AND(Output!#REF!,"AAAAAH9/e8k=")</f>
        <v>#REF!</v>
      </c>
      <c r="GU6" t="e">
        <f>AND(Output!#REF!,"AAAAAH9/e8o=")</f>
        <v>#REF!</v>
      </c>
      <c r="GV6" t="e">
        <f>AND(Output!#REF!,"AAAAAH9/e8s=")</f>
        <v>#REF!</v>
      </c>
      <c r="GW6" t="e">
        <f>AND(Output!#REF!,"AAAAAH9/e8w=")</f>
        <v>#REF!</v>
      </c>
      <c r="GX6" t="e">
        <f>IF(Output!#REF!,"AAAAAH9/e80=",0)</f>
        <v>#REF!</v>
      </c>
      <c r="GY6" t="e">
        <f>AND(Output!#REF!,"AAAAAH9/e84=")</f>
        <v>#REF!</v>
      </c>
      <c r="GZ6" t="e">
        <f>AND(Output!#REF!,"AAAAAH9/e88=")</f>
        <v>#REF!</v>
      </c>
      <c r="HA6" t="e">
        <f>AND(Output!#REF!,"AAAAAH9/e9A=")</f>
        <v>#REF!</v>
      </c>
      <c r="HB6" t="e">
        <f>AND(Output!#REF!,"AAAAAH9/e9E=")</f>
        <v>#REF!</v>
      </c>
      <c r="HC6" t="e">
        <f>AND(Output!#REF!,"AAAAAH9/e9I=")</f>
        <v>#REF!</v>
      </c>
      <c r="HD6" t="e">
        <f>AND(Output!#REF!,"AAAAAH9/e9M=")</f>
        <v>#REF!</v>
      </c>
      <c r="HE6" t="e">
        <f>AND(Output!#REF!,"AAAAAH9/e9Q=")</f>
        <v>#REF!</v>
      </c>
      <c r="HF6" t="e">
        <f>AND(Output!#REF!,"AAAAAH9/e9U=")</f>
        <v>#REF!</v>
      </c>
      <c r="HG6" t="e">
        <f>AND(Output!#REF!,"AAAAAH9/e9Y=")</f>
        <v>#REF!</v>
      </c>
      <c r="HH6" t="e">
        <f>AND(Output!#REF!,"AAAAAH9/e9c=")</f>
        <v>#REF!</v>
      </c>
      <c r="HI6" t="e">
        <f>AND(Output!#REF!,"AAAAAH9/e9g=")</f>
        <v>#REF!</v>
      </c>
      <c r="HJ6" t="e">
        <f>AND(Output!#REF!,"AAAAAH9/e9k=")</f>
        <v>#REF!</v>
      </c>
      <c r="HK6" t="e">
        <f>IF(Output!#REF!,"AAAAAH9/e9o=",0)</f>
        <v>#REF!</v>
      </c>
      <c r="HL6" t="e">
        <f>AND(Output!#REF!,"AAAAAH9/e9s=")</f>
        <v>#REF!</v>
      </c>
      <c r="HM6" t="e">
        <f>AND(Output!#REF!,"AAAAAH9/e9w=")</f>
        <v>#REF!</v>
      </c>
      <c r="HN6" t="e">
        <f>AND(Output!#REF!,"AAAAAH9/e90=")</f>
        <v>#REF!</v>
      </c>
      <c r="HO6" t="e">
        <f>AND(Output!#REF!,"AAAAAH9/e94=")</f>
        <v>#REF!</v>
      </c>
      <c r="HP6" t="e">
        <f>AND(Output!#REF!,"AAAAAH9/e98=")</f>
        <v>#REF!</v>
      </c>
      <c r="HQ6" t="e">
        <f>AND(Output!#REF!,"AAAAAH9/e+A=")</f>
        <v>#REF!</v>
      </c>
      <c r="HR6" t="e">
        <f>AND(Output!#REF!,"AAAAAH9/e+E=")</f>
        <v>#REF!</v>
      </c>
      <c r="HS6" t="e">
        <f>AND(Output!#REF!,"AAAAAH9/e+I=")</f>
        <v>#REF!</v>
      </c>
      <c r="HT6" t="e">
        <f>AND(Output!#REF!,"AAAAAH9/e+M=")</f>
        <v>#REF!</v>
      </c>
      <c r="HU6" t="e">
        <f>AND(Output!#REF!,"AAAAAH9/e+Q=")</f>
        <v>#REF!</v>
      </c>
      <c r="HV6" t="e">
        <f>AND(Output!#REF!,"AAAAAH9/e+U=")</f>
        <v>#REF!</v>
      </c>
      <c r="HW6" t="e">
        <f>AND(Output!#REF!,"AAAAAH9/e+Y=")</f>
        <v>#REF!</v>
      </c>
      <c r="HX6" t="e">
        <f>IF(Output!#REF!,"AAAAAH9/e+c=",0)</f>
        <v>#REF!</v>
      </c>
      <c r="HY6" t="e">
        <f>AND(Output!#REF!,"AAAAAH9/e+g=")</f>
        <v>#REF!</v>
      </c>
      <c r="HZ6" t="e">
        <f>AND(Output!#REF!,"AAAAAH9/e+k=")</f>
        <v>#REF!</v>
      </c>
      <c r="IA6" t="e">
        <f>AND(Output!#REF!,"AAAAAH9/e+o=")</f>
        <v>#REF!</v>
      </c>
      <c r="IB6" t="e">
        <f>AND(Output!#REF!,"AAAAAH9/e+s=")</f>
        <v>#REF!</v>
      </c>
      <c r="IC6" t="e">
        <f>AND(Output!#REF!,"AAAAAH9/e+w=")</f>
        <v>#REF!</v>
      </c>
      <c r="ID6" t="e">
        <f>AND(Output!#REF!,"AAAAAH9/e+0=")</f>
        <v>#REF!</v>
      </c>
      <c r="IE6" t="e">
        <f>AND(Output!#REF!,"AAAAAH9/e+4=")</f>
        <v>#REF!</v>
      </c>
      <c r="IF6" t="e">
        <f>AND(Output!#REF!,"AAAAAH9/e+8=")</f>
        <v>#REF!</v>
      </c>
      <c r="IG6" t="e">
        <f>AND(Output!#REF!,"AAAAAH9/e/A=")</f>
        <v>#REF!</v>
      </c>
      <c r="IH6" t="e">
        <f>AND(Output!#REF!,"AAAAAH9/e/E=")</f>
        <v>#REF!</v>
      </c>
      <c r="II6" t="e">
        <f>AND(Output!#REF!,"AAAAAH9/e/I=")</f>
        <v>#REF!</v>
      </c>
      <c r="IJ6" t="e">
        <f>AND(Output!#REF!,"AAAAAH9/e/M=")</f>
        <v>#REF!</v>
      </c>
      <c r="IK6" t="e">
        <f>IF(Output!#REF!,"AAAAAH9/e/Q=",0)</f>
        <v>#REF!</v>
      </c>
      <c r="IL6" t="e">
        <f>AND(Output!#REF!,"AAAAAH9/e/U=")</f>
        <v>#REF!</v>
      </c>
      <c r="IM6" t="e">
        <f>AND(Output!#REF!,"AAAAAH9/e/Y=")</f>
        <v>#REF!</v>
      </c>
      <c r="IN6" t="e">
        <f>AND(Output!#REF!,"AAAAAH9/e/c=")</f>
        <v>#REF!</v>
      </c>
      <c r="IO6" t="e">
        <f>AND(Output!#REF!,"AAAAAH9/e/g=")</f>
        <v>#REF!</v>
      </c>
      <c r="IP6" t="e">
        <f>AND(Output!#REF!,"AAAAAH9/e/k=")</f>
        <v>#REF!</v>
      </c>
      <c r="IQ6" t="e">
        <f>AND(Output!#REF!,"AAAAAH9/e/o=")</f>
        <v>#REF!</v>
      </c>
      <c r="IR6" t="e">
        <f>AND(Output!#REF!,"AAAAAH9/e/s=")</f>
        <v>#REF!</v>
      </c>
      <c r="IS6" t="e">
        <f>AND(Output!#REF!,"AAAAAH9/e/w=")</f>
        <v>#REF!</v>
      </c>
      <c r="IT6" t="e">
        <f>AND(Output!#REF!,"AAAAAH9/e/0=")</f>
        <v>#REF!</v>
      </c>
      <c r="IU6" t="e">
        <f>AND(Output!#REF!,"AAAAAH9/e/4=")</f>
        <v>#REF!</v>
      </c>
      <c r="IV6" t="e">
        <f>AND(Output!#REF!,"AAAAAH9/e/8=")</f>
        <v>#REF!</v>
      </c>
    </row>
    <row r="7" spans="1:256">
      <c r="A7" t="e">
        <f>AND(Output!#REF!,"AAAAAD1+LgA=")</f>
        <v>#REF!</v>
      </c>
      <c r="B7" t="e">
        <f>IF(Output!#REF!,"AAAAAD1+LgE=",0)</f>
        <v>#REF!</v>
      </c>
      <c r="C7" t="e">
        <f>AND(Output!#REF!,"AAAAAD1+LgI=")</f>
        <v>#REF!</v>
      </c>
      <c r="D7" t="e">
        <f>AND(Output!#REF!,"AAAAAD1+LgM=")</f>
        <v>#REF!</v>
      </c>
      <c r="E7" t="e">
        <f>AND(Output!#REF!,"AAAAAD1+LgQ=")</f>
        <v>#REF!</v>
      </c>
      <c r="F7" t="e">
        <f>AND(Output!#REF!,"AAAAAD1+LgU=")</f>
        <v>#REF!</v>
      </c>
      <c r="G7" t="e">
        <f>AND(Output!#REF!,"AAAAAD1+LgY=")</f>
        <v>#REF!</v>
      </c>
      <c r="H7" t="e">
        <f>AND(Output!#REF!,"AAAAAD1+Lgc=")</f>
        <v>#REF!</v>
      </c>
      <c r="I7" t="e">
        <f>AND(Output!#REF!,"AAAAAD1+Lgg=")</f>
        <v>#REF!</v>
      </c>
      <c r="J7" t="e">
        <f>AND(Output!#REF!,"AAAAAD1+Lgk=")</f>
        <v>#REF!</v>
      </c>
      <c r="K7" t="e">
        <f>AND(Output!#REF!,"AAAAAD1+Lgo=")</f>
        <v>#REF!</v>
      </c>
      <c r="L7" t="e">
        <f>AND(Output!#REF!,"AAAAAD1+Lgs=")</f>
        <v>#REF!</v>
      </c>
      <c r="M7" t="e">
        <f>AND(Output!#REF!,"AAAAAD1+Lgw=")</f>
        <v>#REF!</v>
      </c>
      <c r="N7" t="e">
        <f>AND(Output!#REF!,"AAAAAD1+Lg0=")</f>
        <v>#REF!</v>
      </c>
      <c r="O7" t="e">
        <f>IF(Output!#REF!,"AAAAAD1+Lg4=",0)</f>
        <v>#REF!</v>
      </c>
      <c r="P7" t="e">
        <f>AND(Output!#REF!,"AAAAAD1+Lg8=")</f>
        <v>#REF!</v>
      </c>
      <c r="Q7" t="e">
        <f>AND(Output!#REF!,"AAAAAD1+LhA=")</f>
        <v>#REF!</v>
      </c>
      <c r="R7" t="e">
        <f>AND(Output!#REF!,"AAAAAD1+LhE=")</f>
        <v>#REF!</v>
      </c>
      <c r="S7" t="e">
        <f>AND(Output!#REF!,"AAAAAD1+LhI=")</f>
        <v>#REF!</v>
      </c>
      <c r="T7" t="e">
        <f>AND(Output!#REF!,"AAAAAD1+LhM=")</f>
        <v>#REF!</v>
      </c>
      <c r="U7" t="e">
        <f>AND(Output!#REF!,"AAAAAD1+LhQ=")</f>
        <v>#REF!</v>
      </c>
      <c r="V7" t="e">
        <f>AND(Output!#REF!,"AAAAAD1+LhU=")</f>
        <v>#REF!</v>
      </c>
      <c r="W7" t="e">
        <f>AND(Output!#REF!,"AAAAAD1+LhY=")</f>
        <v>#REF!</v>
      </c>
      <c r="X7" t="e">
        <f>AND(Output!#REF!,"AAAAAD1+Lhc=")</f>
        <v>#REF!</v>
      </c>
      <c r="Y7" t="e">
        <f>AND(Output!#REF!,"AAAAAD1+Lhg=")</f>
        <v>#REF!</v>
      </c>
      <c r="Z7" t="e">
        <f>AND(Output!#REF!,"AAAAAD1+Lhk=")</f>
        <v>#REF!</v>
      </c>
      <c r="AA7" t="e">
        <f>AND(Output!#REF!,"AAAAAD1+Lho=")</f>
        <v>#REF!</v>
      </c>
      <c r="AB7" t="e">
        <f>IF(Output!#REF!,"AAAAAD1+Lhs=",0)</f>
        <v>#REF!</v>
      </c>
      <c r="AC7" t="e">
        <f>AND(Output!#REF!,"AAAAAD1+Lhw=")</f>
        <v>#REF!</v>
      </c>
      <c r="AD7" t="e">
        <f>AND(Output!#REF!,"AAAAAD1+Lh0=")</f>
        <v>#REF!</v>
      </c>
      <c r="AE7" t="e">
        <f>AND(Output!#REF!,"AAAAAD1+Lh4=")</f>
        <v>#REF!</v>
      </c>
      <c r="AF7" t="e">
        <f>AND(Output!#REF!,"AAAAAD1+Lh8=")</f>
        <v>#REF!</v>
      </c>
      <c r="AG7" t="e">
        <f>AND(Output!#REF!,"AAAAAD1+LiA=")</f>
        <v>#REF!</v>
      </c>
      <c r="AH7" t="e">
        <f>AND(Output!#REF!,"AAAAAD1+LiE=")</f>
        <v>#REF!</v>
      </c>
      <c r="AI7" t="e">
        <f>AND(Output!#REF!,"AAAAAD1+LiI=")</f>
        <v>#REF!</v>
      </c>
      <c r="AJ7" t="e">
        <f>AND(Output!#REF!,"AAAAAD1+LiM=")</f>
        <v>#REF!</v>
      </c>
      <c r="AK7" t="e">
        <f>AND(Output!#REF!,"AAAAAD1+LiQ=")</f>
        <v>#REF!</v>
      </c>
      <c r="AL7" t="e">
        <f>AND(Output!#REF!,"AAAAAD1+LiU=")</f>
        <v>#REF!</v>
      </c>
      <c r="AM7" t="e">
        <f>AND(Output!#REF!,"AAAAAD1+LiY=")</f>
        <v>#REF!</v>
      </c>
      <c r="AN7" t="e">
        <f>AND(Output!#REF!,"AAAAAD1+Lic=")</f>
        <v>#REF!</v>
      </c>
      <c r="AO7" t="e">
        <f>IF(Output!#REF!,"AAAAAD1+Lig=",0)</f>
        <v>#REF!</v>
      </c>
      <c r="AP7" t="e">
        <f>AND(Output!#REF!,"AAAAAD1+Lik=")</f>
        <v>#REF!</v>
      </c>
      <c r="AQ7" t="e">
        <f>AND(Output!#REF!,"AAAAAD1+Lio=")</f>
        <v>#REF!</v>
      </c>
      <c r="AR7" t="e">
        <f>AND(Output!#REF!,"AAAAAD1+Lis=")</f>
        <v>#REF!</v>
      </c>
      <c r="AS7" t="e">
        <f>AND(Output!#REF!,"AAAAAD1+Liw=")</f>
        <v>#REF!</v>
      </c>
      <c r="AT7" t="e">
        <f>AND(Output!#REF!,"AAAAAD1+Li0=")</f>
        <v>#REF!</v>
      </c>
      <c r="AU7" t="e">
        <f>AND(Output!#REF!,"AAAAAD1+Li4=")</f>
        <v>#REF!</v>
      </c>
      <c r="AV7" t="e">
        <f>AND(Output!#REF!,"AAAAAD1+Li8=")</f>
        <v>#REF!</v>
      </c>
      <c r="AW7" t="e">
        <f>AND(Output!#REF!,"AAAAAD1+LjA=")</f>
        <v>#REF!</v>
      </c>
      <c r="AX7" t="e">
        <f>AND(Output!#REF!,"AAAAAD1+LjE=")</f>
        <v>#REF!</v>
      </c>
      <c r="AY7" t="e">
        <f>AND(Output!#REF!,"AAAAAD1+LjI=")</f>
        <v>#REF!</v>
      </c>
      <c r="AZ7" t="e">
        <f>AND(Output!#REF!,"AAAAAD1+LjM=")</f>
        <v>#REF!</v>
      </c>
      <c r="BA7" t="e">
        <f>AND(Output!#REF!,"AAAAAD1+LjQ=")</f>
        <v>#REF!</v>
      </c>
      <c r="BB7" t="e">
        <f>IF(Output!#REF!,"AAAAAD1+LjU=",0)</f>
        <v>#REF!</v>
      </c>
      <c r="BC7" t="e">
        <f>AND(Output!#REF!,"AAAAAD1+LjY=")</f>
        <v>#REF!</v>
      </c>
      <c r="BD7" t="e">
        <f>AND(Output!#REF!,"AAAAAD1+Ljc=")</f>
        <v>#REF!</v>
      </c>
      <c r="BE7" t="e">
        <f>AND(Output!#REF!,"AAAAAD1+Ljg=")</f>
        <v>#REF!</v>
      </c>
      <c r="BF7" t="e">
        <f>AND(Output!#REF!,"AAAAAD1+Ljk=")</f>
        <v>#REF!</v>
      </c>
      <c r="BG7" t="e">
        <f>AND(Output!#REF!,"AAAAAD1+Ljo=")</f>
        <v>#REF!</v>
      </c>
      <c r="BH7" t="e">
        <f>AND(Output!#REF!,"AAAAAD1+Ljs=")</f>
        <v>#REF!</v>
      </c>
      <c r="BI7" t="e">
        <f>AND(Output!#REF!,"AAAAAD1+Ljw=")</f>
        <v>#REF!</v>
      </c>
      <c r="BJ7" t="e">
        <f>AND(Output!#REF!,"AAAAAD1+Lj0=")</f>
        <v>#REF!</v>
      </c>
      <c r="BK7" t="e">
        <f>AND(Output!#REF!,"AAAAAD1+Lj4=")</f>
        <v>#REF!</v>
      </c>
      <c r="BL7" t="e">
        <f>AND(Output!#REF!,"AAAAAD1+Lj8=")</f>
        <v>#REF!</v>
      </c>
      <c r="BM7" t="e">
        <f>AND(Output!#REF!,"AAAAAD1+LkA=")</f>
        <v>#REF!</v>
      </c>
      <c r="BN7" t="e">
        <f>AND(Output!#REF!,"AAAAAD1+LkE=")</f>
        <v>#REF!</v>
      </c>
      <c r="BO7" t="e">
        <f>IF(Output!#REF!,"AAAAAD1+LkI=",0)</f>
        <v>#REF!</v>
      </c>
      <c r="BP7" t="e">
        <f>AND(Output!#REF!,"AAAAAD1+LkM=")</f>
        <v>#REF!</v>
      </c>
      <c r="BQ7" t="e">
        <f>AND(Output!#REF!,"AAAAAD1+LkQ=")</f>
        <v>#REF!</v>
      </c>
      <c r="BR7" t="e">
        <f>AND(Output!#REF!,"AAAAAD1+LkU=")</f>
        <v>#REF!</v>
      </c>
      <c r="BS7" t="e">
        <f>AND(Output!#REF!,"AAAAAD1+LkY=")</f>
        <v>#REF!</v>
      </c>
      <c r="BT7" t="e">
        <f>AND(Output!#REF!,"AAAAAD1+Lkc=")</f>
        <v>#REF!</v>
      </c>
      <c r="BU7" t="e">
        <f>AND(Output!#REF!,"AAAAAD1+Lkg=")</f>
        <v>#REF!</v>
      </c>
      <c r="BV7" t="e">
        <f>AND(Output!#REF!,"AAAAAD1+Lkk=")</f>
        <v>#REF!</v>
      </c>
      <c r="BW7" t="e">
        <f>AND(Output!#REF!,"AAAAAD1+Lko=")</f>
        <v>#REF!</v>
      </c>
      <c r="BX7" t="e">
        <f>AND(Output!#REF!,"AAAAAD1+Lks=")</f>
        <v>#REF!</v>
      </c>
      <c r="BY7" t="e">
        <f>AND(Output!#REF!,"AAAAAD1+Lkw=")</f>
        <v>#REF!</v>
      </c>
      <c r="BZ7" t="e">
        <f>AND(Output!#REF!,"AAAAAD1+Lk0=")</f>
        <v>#REF!</v>
      </c>
      <c r="CA7" t="e">
        <f>AND(Output!#REF!,"AAAAAD1+Lk4=")</f>
        <v>#REF!</v>
      </c>
      <c r="CB7" t="e">
        <f>IF(Output!#REF!,"AAAAAD1+Lk8=",0)</f>
        <v>#REF!</v>
      </c>
      <c r="CC7" t="e">
        <f>AND(Output!#REF!,"AAAAAD1+LlA=")</f>
        <v>#REF!</v>
      </c>
      <c r="CD7" t="e">
        <f>AND(Output!#REF!,"AAAAAD1+LlE=")</f>
        <v>#REF!</v>
      </c>
      <c r="CE7" t="e">
        <f>AND(Output!#REF!,"AAAAAD1+LlI=")</f>
        <v>#REF!</v>
      </c>
      <c r="CF7" t="e">
        <f>AND(Output!#REF!,"AAAAAD1+LlM=")</f>
        <v>#REF!</v>
      </c>
      <c r="CG7" t="e">
        <f>AND(Output!#REF!,"AAAAAD1+LlQ=")</f>
        <v>#REF!</v>
      </c>
      <c r="CH7" t="e">
        <f>AND(Output!#REF!,"AAAAAD1+LlU=")</f>
        <v>#REF!</v>
      </c>
      <c r="CI7" t="e">
        <f>AND(Output!#REF!,"AAAAAD1+LlY=")</f>
        <v>#REF!</v>
      </c>
      <c r="CJ7" t="e">
        <f>AND(Output!#REF!,"AAAAAD1+Llc=")</f>
        <v>#REF!</v>
      </c>
      <c r="CK7" t="e">
        <f>AND(Output!#REF!,"AAAAAD1+Llg=")</f>
        <v>#REF!</v>
      </c>
      <c r="CL7" t="e">
        <f>AND(Output!#REF!,"AAAAAD1+Llk=")</f>
        <v>#REF!</v>
      </c>
      <c r="CM7" t="e">
        <f>AND(Output!#REF!,"AAAAAD1+Llo=")</f>
        <v>#REF!</v>
      </c>
      <c r="CN7" t="e">
        <f>AND(Output!#REF!,"AAAAAD1+Lls=")</f>
        <v>#REF!</v>
      </c>
      <c r="CO7" t="e">
        <f>IF(Output!#REF!,"AAAAAD1+Llw=",0)</f>
        <v>#REF!</v>
      </c>
      <c r="CP7" t="e">
        <f>AND(Output!#REF!,"AAAAAD1+Ll0=")</f>
        <v>#REF!</v>
      </c>
      <c r="CQ7" t="e">
        <f>AND(Output!#REF!,"AAAAAD1+Ll4=")</f>
        <v>#REF!</v>
      </c>
      <c r="CR7" t="e">
        <f>AND(Output!#REF!,"AAAAAD1+Ll8=")</f>
        <v>#REF!</v>
      </c>
      <c r="CS7" t="e">
        <f>AND(Output!#REF!,"AAAAAD1+LmA=")</f>
        <v>#REF!</v>
      </c>
      <c r="CT7" t="e">
        <f>AND(Output!#REF!,"AAAAAD1+LmE=")</f>
        <v>#REF!</v>
      </c>
      <c r="CU7" t="e">
        <f>AND(Output!#REF!,"AAAAAD1+LmI=")</f>
        <v>#REF!</v>
      </c>
      <c r="CV7" t="e">
        <f>AND(Output!#REF!,"AAAAAD1+LmM=")</f>
        <v>#REF!</v>
      </c>
      <c r="CW7" t="e">
        <f>AND(Output!#REF!,"AAAAAD1+LmQ=")</f>
        <v>#REF!</v>
      </c>
      <c r="CX7" t="e">
        <f>AND(Output!#REF!,"AAAAAD1+LmU=")</f>
        <v>#REF!</v>
      </c>
      <c r="CY7" t="e">
        <f>AND(Output!#REF!,"AAAAAD1+LmY=")</f>
        <v>#REF!</v>
      </c>
      <c r="CZ7" t="e">
        <f>AND(Output!#REF!,"AAAAAD1+Lmc=")</f>
        <v>#REF!</v>
      </c>
      <c r="DA7" t="e">
        <f>AND(Output!#REF!,"AAAAAD1+Lmg=")</f>
        <v>#REF!</v>
      </c>
      <c r="DB7" t="e">
        <f>IF(Output!#REF!,"AAAAAD1+Lmk=",0)</f>
        <v>#REF!</v>
      </c>
      <c r="DC7" t="e">
        <f>AND(Output!#REF!,"AAAAAD1+Lmo=")</f>
        <v>#REF!</v>
      </c>
      <c r="DD7" t="e">
        <f>AND(Output!#REF!,"AAAAAD1+Lms=")</f>
        <v>#REF!</v>
      </c>
      <c r="DE7" t="e">
        <f>AND(Output!#REF!,"AAAAAD1+Lmw=")</f>
        <v>#REF!</v>
      </c>
      <c r="DF7" t="e">
        <f>AND(Output!#REF!,"AAAAAD1+Lm0=")</f>
        <v>#REF!</v>
      </c>
      <c r="DG7" t="e">
        <f>AND(Output!#REF!,"AAAAAD1+Lm4=")</f>
        <v>#REF!</v>
      </c>
      <c r="DH7" t="e">
        <f>AND(Output!#REF!,"AAAAAD1+Lm8=")</f>
        <v>#REF!</v>
      </c>
      <c r="DI7" t="e">
        <f>AND(Output!#REF!,"AAAAAD1+LnA=")</f>
        <v>#REF!</v>
      </c>
      <c r="DJ7" t="e">
        <f>AND(Output!#REF!,"AAAAAD1+LnE=")</f>
        <v>#REF!</v>
      </c>
      <c r="DK7" t="e">
        <f>AND(Output!#REF!,"AAAAAD1+LnI=")</f>
        <v>#REF!</v>
      </c>
      <c r="DL7" t="e">
        <f>AND(Output!#REF!,"AAAAAD1+LnM=")</f>
        <v>#REF!</v>
      </c>
      <c r="DM7" t="e">
        <f>AND(Output!#REF!,"AAAAAD1+LnQ=")</f>
        <v>#REF!</v>
      </c>
      <c r="DN7" t="e">
        <f>AND(Output!#REF!,"AAAAAD1+LnU=")</f>
        <v>#REF!</v>
      </c>
      <c r="DO7" t="e">
        <f>IF(Output!#REF!,"AAAAAD1+LnY=",0)</f>
        <v>#REF!</v>
      </c>
      <c r="DP7" t="e">
        <f>AND(Output!#REF!,"AAAAAD1+Lnc=")</f>
        <v>#REF!</v>
      </c>
      <c r="DQ7" t="e">
        <f>AND(Output!#REF!,"AAAAAD1+Lng=")</f>
        <v>#REF!</v>
      </c>
      <c r="DR7" t="e">
        <f>AND(Output!#REF!,"AAAAAD1+Lnk=")</f>
        <v>#REF!</v>
      </c>
      <c r="DS7" t="e">
        <f>AND(Output!#REF!,"AAAAAD1+Lno=")</f>
        <v>#REF!</v>
      </c>
      <c r="DT7" t="e">
        <f>AND(Output!#REF!,"AAAAAD1+Lns=")</f>
        <v>#REF!</v>
      </c>
      <c r="DU7" t="e">
        <f>AND(Output!#REF!,"AAAAAD1+Lnw=")</f>
        <v>#REF!</v>
      </c>
      <c r="DV7" t="e">
        <f>AND(Output!#REF!,"AAAAAD1+Ln0=")</f>
        <v>#REF!</v>
      </c>
      <c r="DW7" t="e">
        <f>AND(Output!#REF!,"AAAAAD1+Ln4=")</f>
        <v>#REF!</v>
      </c>
      <c r="DX7" t="e">
        <f>AND(Output!#REF!,"AAAAAD1+Ln8=")</f>
        <v>#REF!</v>
      </c>
      <c r="DY7" t="e">
        <f>AND(Output!#REF!,"AAAAAD1+LoA=")</f>
        <v>#REF!</v>
      </c>
      <c r="DZ7" t="e">
        <f>AND(Output!#REF!,"AAAAAD1+LoE=")</f>
        <v>#REF!</v>
      </c>
      <c r="EA7" t="e">
        <f>AND(Output!#REF!,"AAAAAD1+LoI=")</f>
        <v>#REF!</v>
      </c>
      <c r="EB7" t="e">
        <f>IF(Output!#REF!,"AAAAAD1+LoM=",0)</f>
        <v>#REF!</v>
      </c>
      <c r="EC7" t="e">
        <f>AND(Output!#REF!,"AAAAAD1+LoQ=")</f>
        <v>#REF!</v>
      </c>
      <c r="ED7" t="e">
        <f>AND(Output!#REF!,"AAAAAD1+LoU=")</f>
        <v>#REF!</v>
      </c>
      <c r="EE7" t="e">
        <f>AND(Output!#REF!,"AAAAAD1+LoY=")</f>
        <v>#REF!</v>
      </c>
      <c r="EF7" t="e">
        <f>AND(Output!#REF!,"AAAAAD1+Loc=")</f>
        <v>#REF!</v>
      </c>
      <c r="EG7" t="e">
        <f>AND(Output!#REF!,"AAAAAD1+Log=")</f>
        <v>#REF!</v>
      </c>
      <c r="EH7" t="e">
        <f>AND(Output!#REF!,"AAAAAD1+Lok=")</f>
        <v>#REF!</v>
      </c>
      <c r="EI7" t="e">
        <f>AND(Output!#REF!,"AAAAAD1+Loo=")</f>
        <v>#REF!</v>
      </c>
      <c r="EJ7" t="e">
        <f>AND(Output!#REF!,"AAAAAD1+Los=")</f>
        <v>#REF!</v>
      </c>
      <c r="EK7" t="e">
        <f>AND(Output!#REF!,"AAAAAD1+Low=")</f>
        <v>#REF!</v>
      </c>
      <c r="EL7" t="e">
        <f>AND(Output!#REF!,"AAAAAD1+Lo0=")</f>
        <v>#REF!</v>
      </c>
      <c r="EM7" t="e">
        <f>AND(Output!#REF!,"AAAAAD1+Lo4=")</f>
        <v>#REF!</v>
      </c>
      <c r="EN7" t="e">
        <f>AND(Output!#REF!,"AAAAAD1+Lo8=")</f>
        <v>#REF!</v>
      </c>
      <c r="EO7" t="e">
        <f>IF(Output!#REF!,"AAAAAD1+LpA=",0)</f>
        <v>#REF!</v>
      </c>
      <c r="EP7" t="e">
        <f>AND(Output!#REF!,"AAAAAD1+LpE=")</f>
        <v>#REF!</v>
      </c>
      <c r="EQ7" t="e">
        <f>AND(Output!#REF!,"AAAAAD1+LpI=")</f>
        <v>#REF!</v>
      </c>
      <c r="ER7" t="e">
        <f>AND(Output!#REF!,"AAAAAD1+LpM=")</f>
        <v>#REF!</v>
      </c>
      <c r="ES7" t="e">
        <f>AND(Output!#REF!,"AAAAAD1+LpQ=")</f>
        <v>#REF!</v>
      </c>
      <c r="ET7" t="e">
        <f>AND(Output!#REF!,"AAAAAD1+LpU=")</f>
        <v>#REF!</v>
      </c>
      <c r="EU7" t="e">
        <f>AND(Output!#REF!,"AAAAAD1+LpY=")</f>
        <v>#REF!</v>
      </c>
      <c r="EV7" t="e">
        <f>AND(Output!#REF!,"AAAAAD1+Lpc=")</f>
        <v>#REF!</v>
      </c>
      <c r="EW7" t="e">
        <f>AND(Output!#REF!,"AAAAAD1+Lpg=")</f>
        <v>#REF!</v>
      </c>
      <c r="EX7" t="e">
        <f>AND(Output!#REF!,"AAAAAD1+Lpk=")</f>
        <v>#REF!</v>
      </c>
      <c r="EY7" t="e">
        <f>AND(Output!#REF!,"AAAAAD1+Lpo=")</f>
        <v>#REF!</v>
      </c>
      <c r="EZ7" t="e">
        <f>AND(Output!#REF!,"AAAAAD1+Lps=")</f>
        <v>#REF!</v>
      </c>
      <c r="FA7" t="e">
        <f>AND(Output!#REF!,"AAAAAD1+Lpw=")</f>
        <v>#REF!</v>
      </c>
      <c r="FB7" t="e">
        <f>IF(Output!#REF!,"AAAAAD1+Lp0=",0)</f>
        <v>#REF!</v>
      </c>
      <c r="FC7" t="e">
        <f>AND(Output!#REF!,"AAAAAD1+Lp4=")</f>
        <v>#REF!</v>
      </c>
      <c r="FD7" t="e">
        <f>AND(Output!#REF!,"AAAAAD1+Lp8=")</f>
        <v>#REF!</v>
      </c>
      <c r="FE7" t="e">
        <f>AND(Output!#REF!,"AAAAAD1+LqA=")</f>
        <v>#REF!</v>
      </c>
      <c r="FF7" t="e">
        <f>AND(Output!#REF!,"AAAAAD1+LqE=")</f>
        <v>#REF!</v>
      </c>
      <c r="FG7" t="e">
        <f>AND(Output!#REF!,"AAAAAD1+LqI=")</f>
        <v>#REF!</v>
      </c>
      <c r="FH7" t="e">
        <f>AND(Output!#REF!,"AAAAAD1+LqM=")</f>
        <v>#REF!</v>
      </c>
      <c r="FI7" t="e">
        <f>AND(Output!#REF!,"AAAAAD1+LqQ=")</f>
        <v>#REF!</v>
      </c>
      <c r="FJ7" t="e">
        <f>AND(Output!#REF!,"AAAAAD1+LqU=")</f>
        <v>#REF!</v>
      </c>
      <c r="FK7" t="e">
        <f>AND(Output!#REF!,"AAAAAD1+LqY=")</f>
        <v>#REF!</v>
      </c>
      <c r="FL7" t="e">
        <f>AND(Output!#REF!,"AAAAAD1+Lqc=")</f>
        <v>#REF!</v>
      </c>
      <c r="FM7" t="e">
        <f>AND(Output!#REF!,"AAAAAD1+Lqg=")</f>
        <v>#REF!</v>
      </c>
      <c r="FN7" t="e">
        <f>AND(Output!#REF!,"AAAAAD1+Lqk=")</f>
        <v>#REF!</v>
      </c>
      <c r="FO7" t="e">
        <f>IF(Output!#REF!,"AAAAAD1+Lqo=",0)</f>
        <v>#REF!</v>
      </c>
      <c r="FP7" t="e">
        <f>AND(Output!#REF!,"AAAAAD1+Lqs=")</f>
        <v>#REF!</v>
      </c>
      <c r="FQ7" t="e">
        <f>AND(Output!#REF!,"AAAAAD1+Lqw=")</f>
        <v>#REF!</v>
      </c>
      <c r="FR7" t="e">
        <f>AND(Output!#REF!,"AAAAAD1+Lq0=")</f>
        <v>#REF!</v>
      </c>
      <c r="FS7" t="e">
        <f>AND(Output!#REF!,"AAAAAD1+Lq4=")</f>
        <v>#REF!</v>
      </c>
      <c r="FT7" t="e">
        <f>AND(Output!#REF!,"AAAAAD1+Lq8=")</f>
        <v>#REF!</v>
      </c>
      <c r="FU7" t="e">
        <f>AND(Output!#REF!,"AAAAAD1+LrA=")</f>
        <v>#REF!</v>
      </c>
      <c r="FV7" t="e">
        <f>AND(Output!#REF!,"AAAAAD1+LrE=")</f>
        <v>#REF!</v>
      </c>
      <c r="FW7" t="e">
        <f>AND(Output!#REF!,"AAAAAD1+LrI=")</f>
        <v>#REF!</v>
      </c>
      <c r="FX7" t="e">
        <f>AND(Output!#REF!,"AAAAAD1+LrM=")</f>
        <v>#REF!</v>
      </c>
      <c r="FY7" t="e">
        <f>AND(Output!#REF!,"AAAAAD1+LrQ=")</f>
        <v>#REF!</v>
      </c>
      <c r="FZ7" t="e">
        <f>AND(Output!#REF!,"AAAAAD1+LrU=")</f>
        <v>#REF!</v>
      </c>
      <c r="GA7" t="e">
        <f>AND(Output!#REF!,"AAAAAD1+LrY=")</f>
        <v>#REF!</v>
      </c>
      <c r="GB7" t="e">
        <f>IF(Output!#REF!,"AAAAAD1+Lrc=",0)</f>
        <v>#REF!</v>
      </c>
      <c r="GC7" t="e">
        <f>AND(Output!#REF!,"AAAAAD1+Lrg=")</f>
        <v>#REF!</v>
      </c>
      <c r="GD7" t="e">
        <f>AND(Output!#REF!,"AAAAAD1+Lrk=")</f>
        <v>#REF!</v>
      </c>
      <c r="GE7" t="e">
        <f>AND(Output!#REF!,"AAAAAD1+Lro=")</f>
        <v>#REF!</v>
      </c>
      <c r="GF7" t="e">
        <f>AND(Output!#REF!,"AAAAAD1+Lrs=")</f>
        <v>#REF!</v>
      </c>
      <c r="GG7" t="e">
        <f>AND(Output!#REF!,"AAAAAD1+Lrw=")</f>
        <v>#REF!</v>
      </c>
      <c r="GH7" t="e">
        <f>AND(Output!#REF!,"AAAAAD1+Lr0=")</f>
        <v>#REF!</v>
      </c>
      <c r="GI7" t="e">
        <f>AND(Output!#REF!,"AAAAAD1+Lr4=")</f>
        <v>#REF!</v>
      </c>
      <c r="GJ7" t="e">
        <f>AND(Output!#REF!,"AAAAAD1+Lr8=")</f>
        <v>#REF!</v>
      </c>
      <c r="GK7" t="e">
        <f>AND(Output!#REF!,"AAAAAD1+LsA=")</f>
        <v>#REF!</v>
      </c>
      <c r="GL7" t="e">
        <f>AND(Output!#REF!,"AAAAAD1+LsE=")</f>
        <v>#REF!</v>
      </c>
      <c r="GM7" t="e">
        <f>AND(Output!#REF!,"AAAAAD1+LsI=")</f>
        <v>#REF!</v>
      </c>
      <c r="GN7" t="e">
        <f>AND(Output!#REF!,"AAAAAD1+LsM=")</f>
        <v>#REF!</v>
      </c>
      <c r="GO7" t="e">
        <f>IF(Output!#REF!,"AAAAAD1+LsQ=",0)</f>
        <v>#REF!</v>
      </c>
      <c r="GP7" t="e">
        <f>AND(Output!#REF!,"AAAAAD1+LsU=")</f>
        <v>#REF!</v>
      </c>
      <c r="GQ7" t="e">
        <f>AND(Output!#REF!,"AAAAAD1+LsY=")</f>
        <v>#REF!</v>
      </c>
      <c r="GR7" t="e">
        <f>AND(Output!#REF!,"AAAAAD1+Lsc=")</f>
        <v>#REF!</v>
      </c>
      <c r="GS7" t="e">
        <f>AND(Output!#REF!,"AAAAAD1+Lsg=")</f>
        <v>#REF!</v>
      </c>
      <c r="GT7" t="e">
        <f>AND(Output!#REF!,"AAAAAD1+Lsk=")</f>
        <v>#REF!</v>
      </c>
      <c r="GU7" t="e">
        <f>AND(Output!#REF!,"AAAAAD1+Lso=")</f>
        <v>#REF!</v>
      </c>
      <c r="GV7" t="e">
        <f>AND(Output!#REF!,"AAAAAD1+Lss=")</f>
        <v>#REF!</v>
      </c>
      <c r="GW7" t="e">
        <f>AND(Output!#REF!,"AAAAAD1+Lsw=")</f>
        <v>#REF!</v>
      </c>
      <c r="GX7" t="e">
        <f>AND(Output!#REF!,"AAAAAD1+Ls0=")</f>
        <v>#REF!</v>
      </c>
      <c r="GY7" t="e">
        <f>AND(Output!#REF!,"AAAAAD1+Ls4=")</f>
        <v>#REF!</v>
      </c>
      <c r="GZ7" t="e">
        <f>AND(Output!#REF!,"AAAAAD1+Ls8=")</f>
        <v>#REF!</v>
      </c>
      <c r="HA7" t="e">
        <f>AND(Output!#REF!,"AAAAAD1+LtA=")</f>
        <v>#REF!</v>
      </c>
      <c r="HB7" t="e">
        <f>IF(Output!#REF!,"AAAAAD1+LtE=",0)</f>
        <v>#REF!</v>
      </c>
      <c r="HC7" t="e">
        <f>AND(Output!#REF!,"AAAAAD1+LtI=")</f>
        <v>#REF!</v>
      </c>
      <c r="HD7" t="e">
        <f>AND(Output!#REF!,"AAAAAD1+LtM=")</f>
        <v>#REF!</v>
      </c>
      <c r="HE7" t="e">
        <f>AND(Output!#REF!,"AAAAAD1+LtQ=")</f>
        <v>#REF!</v>
      </c>
      <c r="HF7" t="e">
        <f>AND(Output!#REF!,"AAAAAD1+LtU=")</f>
        <v>#REF!</v>
      </c>
      <c r="HG7" t="e">
        <f>AND(Output!#REF!,"AAAAAD1+LtY=")</f>
        <v>#REF!</v>
      </c>
      <c r="HH7" t="e">
        <f>AND(Output!#REF!,"AAAAAD1+Ltc=")</f>
        <v>#REF!</v>
      </c>
      <c r="HI7" t="e">
        <f>AND(Output!#REF!,"AAAAAD1+Ltg=")</f>
        <v>#REF!</v>
      </c>
      <c r="HJ7" t="e">
        <f>AND(Output!#REF!,"AAAAAD1+Ltk=")</f>
        <v>#REF!</v>
      </c>
      <c r="HK7" t="e">
        <f>AND(Output!#REF!,"AAAAAD1+Lto=")</f>
        <v>#REF!</v>
      </c>
      <c r="HL7" t="e">
        <f>AND(Output!#REF!,"AAAAAD1+Lts=")</f>
        <v>#REF!</v>
      </c>
      <c r="HM7" t="e">
        <f>AND(Output!#REF!,"AAAAAD1+Ltw=")</f>
        <v>#REF!</v>
      </c>
      <c r="HN7" t="e">
        <f>AND(Output!#REF!,"AAAAAD1+Lt0=")</f>
        <v>#REF!</v>
      </c>
      <c r="HO7" t="e">
        <f>IF(Output!#REF!,"AAAAAD1+Lt4=",0)</f>
        <v>#REF!</v>
      </c>
      <c r="HP7" t="e">
        <f>AND(Output!#REF!,"AAAAAD1+Lt8=")</f>
        <v>#REF!</v>
      </c>
      <c r="HQ7" t="e">
        <f>AND(Output!#REF!,"AAAAAD1+LuA=")</f>
        <v>#REF!</v>
      </c>
      <c r="HR7" t="e">
        <f>AND(Output!#REF!,"AAAAAD1+LuE=")</f>
        <v>#REF!</v>
      </c>
      <c r="HS7" t="e">
        <f>AND(Output!#REF!,"AAAAAD1+LuI=")</f>
        <v>#REF!</v>
      </c>
      <c r="HT7" t="e">
        <f>AND(Output!#REF!,"AAAAAD1+LuM=")</f>
        <v>#REF!</v>
      </c>
      <c r="HU7" t="e">
        <f>AND(Output!#REF!,"AAAAAD1+LuQ=")</f>
        <v>#REF!</v>
      </c>
      <c r="HV7" t="e">
        <f>AND(Output!#REF!,"AAAAAD1+LuU=")</f>
        <v>#REF!</v>
      </c>
      <c r="HW7" t="e">
        <f>AND(Output!#REF!,"AAAAAD1+LuY=")</f>
        <v>#REF!</v>
      </c>
      <c r="HX7" t="e">
        <f>AND(Output!#REF!,"AAAAAD1+Luc=")</f>
        <v>#REF!</v>
      </c>
      <c r="HY7" t="e">
        <f>AND(Output!#REF!,"AAAAAD1+Lug=")</f>
        <v>#REF!</v>
      </c>
      <c r="HZ7" t="e">
        <f>AND(Output!#REF!,"AAAAAD1+Luk=")</f>
        <v>#REF!</v>
      </c>
      <c r="IA7" t="e">
        <f>AND(Output!#REF!,"AAAAAD1+Luo=")</f>
        <v>#REF!</v>
      </c>
      <c r="IB7" t="e">
        <f>IF(Output!#REF!,"AAAAAD1+Lus=",0)</f>
        <v>#REF!</v>
      </c>
      <c r="IC7" t="e">
        <f>AND(Output!#REF!,"AAAAAD1+Luw=")</f>
        <v>#REF!</v>
      </c>
      <c r="ID7" t="e">
        <f>AND(Output!#REF!,"AAAAAD1+Lu0=")</f>
        <v>#REF!</v>
      </c>
      <c r="IE7" t="e">
        <f>AND(Output!#REF!,"AAAAAD1+Lu4=")</f>
        <v>#REF!</v>
      </c>
      <c r="IF7" t="e">
        <f>AND(Output!#REF!,"AAAAAD1+Lu8=")</f>
        <v>#REF!</v>
      </c>
      <c r="IG7" t="e">
        <f>AND(Output!#REF!,"AAAAAD1+LvA=")</f>
        <v>#REF!</v>
      </c>
      <c r="IH7" t="e">
        <f>AND(Output!#REF!,"AAAAAD1+LvE=")</f>
        <v>#REF!</v>
      </c>
      <c r="II7" t="e">
        <f>AND(Output!#REF!,"AAAAAD1+LvI=")</f>
        <v>#REF!</v>
      </c>
      <c r="IJ7" t="e">
        <f>AND(Output!#REF!,"AAAAAD1+LvM=")</f>
        <v>#REF!</v>
      </c>
      <c r="IK7" t="e">
        <f>AND(Output!#REF!,"AAAAAD1+LvQ=")</f>
        <v>#REF!</v>
      </c>
      <c r="IL7" t="e">
        <f>AND(Output!#REF!,"AAAAAD1+LvU=")</f>
        <v>#REF!</v>
      </c>
      <c r="IM7" t="e">
        <f>AND(Output!#REF!,"AAAAAD1+LvY=")</f>
        <v>#REF!</v>
      </c>
      <c r="IN7" t="e">
        <f>AND(Output!#REF!,"AAAAAD1+Lvc=")</f>
        <v>#REF!</v>
      </c>
      <c r="IO7" t="e">
        <f>IF(Output!#REF!,"AAAAAD1+Lvg=",0)</f>
        <v>#REF!</v>
      </c>
      <c r="IP7" t="e">
        <f>AND(Output!#REF!,"AAAAAD1+Lvk=")</f>
        <v>#REF!</v>
      </c>
      <c r="IQ7" t="e">
        <f>AND(Output!#REF!,"AAAAAD1+Lvo=")</f>
        <v>#REF!</v>
      </c>
      <c r="IR7" t="e">
        <f>AND(Output!#REF!,"AAAAAD1+Lvs=")</f>
        <v>#REF!</v>
      </c>
      <c r="IS7" t="e">
        <f>AND(Output!#REF!,"AAAAAD1+Lvw=")</f>
        <v>#REF!</v>
      </c>
      <c r="IT7" t="e">
        <f>AND(Output!#REF!,"AAAAAD1+Lv0=")</f>
        <v>#REF!</v>
      </c>
      <c r="IU7" t="e">
        <f>AND(Output!#REF!,"AAAAAD1+Lv4=")</f>
        <v>#REF!</v>
      </c>
      <c r="IV7" t="e">
        <f>AND(Output!#REF!,"AAAAAD1+Lv8=")</f>
        <v>#REF!</v>
      </c>
    </row>
    <row r="8" spans="1:256">
      <c r="A8" t="e">
        <f>AND(Output!#REF!,"AAAAABzJ1wA=")</f>
        <v>#REF!</v>
      </c>
      <c r="B8" t="e">
        <f>AND(Output!#REF!,"AAAAABzJ1wE=")</f>
        <v>#REF!</v>
      </c>
      <c r="C8" t="e">
        <f>AND(Output!#REF!,"AAAAABzJ1wI=")</f>
        <v>#REF!</v>
      </c>
      <c r="D8" t="e">
        <f>AND(Output!#REF!,"AAAAABzJ1wM=")</f>
        <v>#REF!</v>
      </c>
      <c r="E8" t="e">
        <f>AND(Output!#REF!,"AAAAABzJ1wQ=")</f>
        <v>#REF!</v>
      </c>
      <c r="F8" t="e">
        <f>IF(Output!#REF!,"AAAAABzJ1wU=",0)</f>
        <v>#REF!</v>
      </c>
      <c r="G8" t="e">
        <f>AND(Output!#REF!,"AAAAABzJ1wY=")</f>
        <v>#REF!</v>
      </c>
      <c r="H8" t="e">
        <f>AND(Output!#REF!,"AAAAABzJ1wc=")</f>
        <v>#REF!</v>
      </c>
      <c r="I8" t="e">
        <f>AND(Output!#REF!,"AAAAABzJ1wg=")</f>
        <v>#REF!</v>
      </c>
      <c r="J8" t="e">
        <f>AND(Output!#REF!,"AAAAABzJ1wk=")</f>
        <v>#REF!</v>
      </c>
      <c r="K8" t="e">
        <f>AND(Output!#REF!,"AAAAABzJ1wo=")</f>
        <v>#REF!</v>
      </c>
      <c r="L8" t="e">
        <f>AND(Output!#REF!,"AAAAABzJ1ws=")</f>
        <v>#REF!</v>
      </c>
      <c r="M8" t="e">
        <f>AND(Output!#REF!,"AAAAABzJ1ww=")</f>
        <v>#REF!</v>
      </c>
      <c r="N8" t="e">
        <f>AND(Output!#REF!,"AAAAABzJ1w0=")</f>
        <v>#REF!</v>
      </c>
      <c r="O8" t="e">
        <f>AND(Output!#REF!,"AAAAABzJ1w4=")</f>
        <v>#REF!</v>
      </c>
      <c r="P8" t="e">
        <f>AND(Output!#REF!,"AAAAABzJ1w8=")</f>
        <v>#REF!</v>
      </c>
      <c r="Q8" t="e">
        <f>AND(Output!#REF!,"AAAAABzJ1xA=")</f>
        <v>#REF!</v>
      </c>
      <c r="R8" t="e">
        <f>AND(Output!#REF!,"AAAAABzJ1xE=")</f>
        <v>#REF!</v>
      </c>
      <c r="S8" t="e">
        <f>IF(Output!#REF!,"AAAAABzJ1xI=",0)</f>
        <v>#REF!</v>
      </c>
      <c r="T8" t="e">
        <f>AND(Output!#REF!,"AAAAABzJ1xM=")</f>
        <v>#REF!</v>
      </c>
      <c r="U8" t="e">
        <f>AND(Output!#REF!,"AAAAABzJ1xQ=")</f>
        <v>#REF!</v>
      </c>
      <c r="V8" t="e">
        <f>AND(Output!#REF!,"AAAAABzJ1xU=")</f>
        <v>#REF!</v>
      </c>
      <c r="W8" t="e">
        <f>AND(Output!#REF!,"AAAAABzJ1xY=")</f>
        <v>#REF!</v>
      </c>
      <c r="X8" t="e">
        <f>AND(Output!#REF!,"AAAAABzJ1xc=")</f>
        <v>#REF!</v>
      </c>
      <c r="Y8" t="e">
        <f>AND(Output!#REF!,"AAAAABzJ1xg=")</f>
        <v>#REF!</v>
      </c>
      <c r="Z8" t="e">
        <f>AND(Output!#REF!,"AAAAABzJ1xk=")</f>
        <v>#REF!</v>
      </c>
      <c r="AA8" t="e">
        <f>AND(Output!#REF!,"AAAAABzJ1xo=")</f>
        <v>#REF!</v>
      </c>
      <c r="AB8" t="e">
        <f>AND(Output!#REF!,"AAAAABzJ1xs=")</f>
        <v>#REF!</v>
      </c>
      <c r="AC8" t="e">
        <f>AND(Output!#REF!,"AAAAABzJ1xw=")</f>
        <v>#REF!</v>
      </c>
      <c r="AD8" t="e">
        <f>AND(Output!#REF!,"AAAAABzJ1x0=")</f>
        <v>#REF!</v>
      </c>
      <c r="AE8" t="e">
        <f>AND(Output!#REF!,"AAAAABzJ1x4=")</f>
        <v>#REF!</v>
      </c>
      <c r="AF8" t="e">
        <f>IF(Output!#REF!,"AAAAABzJ1x8=",0)</f>
        <v>#REF!</v>
      </c>
      <c r="AG8" t="e">
        <f>AND(Output!#REF!,"AAAAABzJ1yA=")</f>
        <v>#REF!</v>
      </c>
      <c r="AH8" t="e">
        <f>AND(Output!#REF!,"AAAAABzJ1yE=")</f>
        <v>#REF!</v>
      </c>
      <c r="AI8" t="e">
        <f>AND(Output!#REF!,"AAAAABzJ1yI=")</f>
        <v>#REF!</v>
      </c>
      <c r="AJ8" t="e">
        <f>AND(Output!#REF!,"AAAAABzJ1yM=")</f>
        <v>#REF!</v>
      </c>
      <c r="AK8" t="e">
        <f>AND(Output!#REF!,"AAAAABzJ1yQ=")</f>
        <v>#REF!</v>
      </c>
      <c r="AL8" t="e">
        <f>AND(Output!#REF!,"AAAAABzJ1yU=")</f>
        <v>#REF!</v>
      </c>
      <c r="AM8" t="e">
        <f>AND(Output!#REF!,"AAAAABzJ1yY=")</f>
        <v>#REF!</v>
      </c>
      <c r="AN8" t="e">
        <f>AND(Output!#REF!,"AAAAABzJ1yc=")</f>
        <v>#REF!</v>
      </c>
      <c r="AO8" t="e">
        <f>AND(Output!#REF!,"AAAAABzJ1yg=")</f>
        <v>#REF!</v>
      </c>
      <c r="AP8" t="e">
        <f>AND(Output!#REF!,"AAAAABzJ1yk=")</f>
        <v>#REF!</v>
      </c>
      <c r="AQ8" t="e">
        <f>AND(Output!#REF!,"AAAAABzJ1yo=")</f>
        <v>#REF!</v>
      </c>
      <c r="AR8" t="e">
        <f>AND(Output!#REF!,"AAAAABzJ1ys=")</f>
        <v>#REF!</v>
      </c>
      <c r="AS8" t="e">
        <f>IF(Output!#REF!,"AAAAABzJ1yw=",0)</f>
        <v>#REF!</v>
      </c>
      <c r="AT8" t="e">
        <f>AND(Output!#REF!,"AAAAABzJ1y0=")</f>
        <v>#REF!</v>
      </c>
      <c r="AU8" t="e">
        <f>AND(Output!#REF!,"AAAAABzJ1y4=")</f>
        <v>#REF!</v>
      </c>
      <c r="AV8" t="e">
        <f>AND(Output!#REF!,"AAAAABzJ1y8=")</f>
        <v>#REF!</v>
      </c>
      <c r="AW8" t="e">
        <f>AND(Output!#REF!,"AAAAABzJ1zA=")</f>
        <v>#REF!</v>
      </c>
      <c r="AX8" t="e">
        <f>AND(Output!#REF!,"AAAAABzJ1zE=")</f>
        <v>#REF!</v>
      </c>
      <c r="AY8" t="e">
        <f>AND(Output!#REF!,"AAAAABzJ1zI=")</f>
        <v>#REF!</v>
      </c>
      <c r="AZ8" t="e">
        <f>AND(Output!#REF!,"AAAAABzJ1zM=")</f>
        <v>#REF!</v>
      </c>
      <c r="BA8" t="e">
        <f>AND(Output!#REF!,"AAAAABzJ1zQ=")</f>
        <v>#REF!</v>
      </c>
      <c r="BB8" t="e">
        <f>AND(Output!#REF!,"AAAAABzJ1zU=")</f>
        <v>#REF!</v>
      </c>
      <c r="BC8" t="e">
        <f>AND(Output!#REF!,"AAAAABzJ1zY=")</f>
        <v>#REF!</v>
      </c>
      <c r="BD8" t="e">
        <f>AND(Output!#REF!,"AAAAABzJ1zc=")</f>
        <v>#REF!</v>
      </c>
      <c r="BE8" t="e">
        <f>AND(Output!#REF!,"AAAAABzJ1zg=")</f>
        <v>#REF!</v>
      </c>
      <c r="BF8" t="e">
        <f>IF(Output!#REF!,"AAAAABzJ1zk=",0)</f>
        <v>#REF!</v>
      </c>
      <c r="BG8" t="e">
        <f>AND(Output!#REF!,"AAAAABzJ1zo=")</f>
        <v>#REF!</v>
      </c>
      <c r="BH8" t="e">
        <f>AND(Output!#REF!,"AAAAABzJ1zs=")</f>
        <v>#REF!</v>
      </c>
      <c r="BI8" t="e">
        <f>AND(Output!#REF!,"AAAAABzJ1zw=")</f>
        <v>#REF!</v>
      </c>
      <c r="BJ8" t="e">
        <f>AND(Output!#REF!,"AAAAABzJ1z0=")</f>
        <v>#REF!</v>
      </c>
      <c r="BK8" t="e">
        <f>AND(Output!#REF!,"AAAAABzJ1z4=")</f>
        <v>#REF!</v>
      </c>
      <c r="BL8" t="e">
        <f>AND(Output!#REF!,"AAAAABzJ1z8=")</f>
        <v>#REF!</v>
      </c>
      <c r="BM8" t="e">
        <f>AND(Output!#REF!,"AAAAABzJ10A=")</f>
        <v>#REF!</v>
      </c>
      <c r="BN8" t="e">
        <f>AND(Output!#REF!,"AAAAABzJ10E=")</f>
        <v>#REF!</v>
      </c>
      <c r="BO8" t="e">
        <f>AND(Output!#REF!,"AAAAABzJ10I=")</f>
        <v>#REF!</v>
      </c>
      <c r="BP8" t="e">
        <f>AND(Output!#REF!,"AAAAABzJ10M=")</f>
        <v>#REF!</v>
      </c>
      <c r="BQ8" t="e">
        <f>AND(Output!#REF!,"AAAAABzJ10Q=")</f>
        <v>#REF!</v>
      </c>
      <c r="BR8" t="e">
        <f>AND(Output!#REF!,"AAAAABzJ10U=")</f>
        <v>#REF!</v>
      </c>
      <c r="BS8" t="e">
        <f>IF(Output!#REF!,"AAAAABzJ10Y=",0)</f>
        <v>#REF!</v>
      </c>
      <c r="BT8" t="e">
        <f>AND(Output!#REF!,"AAAAABzJ10c=")</f>
        <v>#REF!</v>
      </c>
      <c r="BU8" t="e">
        <f>AND(Output!#REF!,"AAAAABzJ10g=")</f>
        <v>#REF!</v>
      </c>
      <c r="BV8" t="e">
        <f>AND(Output!#REF!,"AAAAABzJ10k=")</f>
        <v>#REF!</v>
      </c>
      <c r="BW8" t="e">
        <f>AND(Output!#REF!,"AAAAABzJ10o=")</f>
        <v>#REF!</v>
      </c>
      <c r="BX8" t="e">
        <f>AND(Output!#REF!,"AAAAABzJ10s=")</f>
        <v>#REF!</v>
      </c>
      <c r="BY8" t="e">
        <f>AND(Output!#REF!,"AAAAABzJ10w=")</f>
        <v>#REF!</v>
      </c>
      <c r="BZ8" t="e">
        <f>AND(Output!#REF!,"AAAAABzJ100=")</f>
        <v>#REF!</v>
      </c>
      <c r="CA8" t="e">
        <f>AND(Output!#REF!,"AAAAABzJ104=")</f>
        <v>#REF!</v>
      </c>
      <c r="CB8" t="e">
        <f>AND(Output!#REF!,"AAAAABzJ108=")</f>
        <v>#REF!</v>
      </c>
      <c r="CC8" t="e">
        <f>AND(Output!#REF!,"AAAAABzJ11A=")</f>
        <v>#REF!</v>
      </c>
      <c r="CD8" t="e">
        <f>AND(Output!#REF!,"AAAAABzJ11E=")</f>
        <v>#REF!</v>
      </c>
      <c r="CE8" t="e">
        <f>AND(Output!#REF!,"AAAAABzJ11I=")</f>
        <v>#REF!</v>
      </c>
      <c r="CF8" t="e">
        <f>IF(Output!#REF!,"AAAAABzJ11M=",0)</f>
        <v>#REF!</v>
      </c>
      <c r="CG8" t="e">
        <f>AND(Output!#REF!,"AAAAABzJ11Q=")</f>
        <v>#REF!</v>
      </c>
      <c r="CH8" t="e">
        <f>AND(Output!#REF!,"AAAAABzJ11U=")</f>
        <v>#REF!</v>
      </c>
      <c r="CI8" t="e">
        <f>AND(Output!#REF!,"AAAAABzJ11Y=")</f>
        <v>#REF!</v>
      </c>
      <c r="CJ8" t="e">
        <f>AND(Output!#REF!,"AAAAABzJ11c=")</f>
        <v>#REF!</v>
      </c>
      <c r="CK8" t="e">
        <f>AND(Output!#REF!,"AAAAABzJ11g=")</f>
        <v>#REF!</v>
      </c>
      <c r="CL8" t="e">
        <f>AND(Output!#REF!,"AAAAABzJ11k=")</f>
        <v>#REF!</v>
      </c>
      <c r="CM8" t="e">
        <f>AND(Output!#REF!,"AAAAABzJ11o=")</f>
        <v>#REF!</v>
      </c>
      <c r="CN8" t="e">
        <f>AND(Output!#REF!,"AAAAABzJ11s=")</f>
        <v>#REF!</v>
      </c>
      <c r="CO8" t="e">
        <f>AND(Output!#REF!,"AAAAABzJ11w=")</f>
        <v>#REF!</v>
      </c>
      <c r="CP8" t="e">
        <f>AND(Output!#REF!,"AAAAABzJ110=")</f>
        <v>#REF!</v>
      </c>
      <c r="CQ8" t="e">
        <f>AND(Output!#REF!,"AAAAABzJ114=")</f>
        <v>#REF!</v>
      </c>
      <c r="CR8" t="e">
        <f>AND(Output!#REF!,"AAAAABzJ118=")</f>
        <v>#REF!</v>
      </c>
      <c r="CS8" t="e">
        <f>IF(Output!#REF!,"AAAAABzJ12A=",0)</f>
        <v>#REF!</v>
      </c>
      <c r="CT8" t="e">
        <f>AND(Output!#REF!,"AAAAABzJ12E=")</f>
        <v>#REF!</v>
      </c>
      <c r="CU8" t="e">
        <f>AND(Output!#REF!,"AAAAABzJ12I=")</f>
        <v>#REF!</v>
      </c>
      <c r="CV8" t="e">
        <f>AND(Output!#REF!,"AAAAABzJ12M=")</f>
        <v>#REF!</v>
      </c>
      <c r="CW8" t="e">
        <f>AND(Output!#REF!,"AAAAABzJ12Q=")</f>
        <v>#REF!</v>
      </c>
      <c r="CX8" t="e">
        <f>AND(Output!#REF!,"AAAAABzJ12U=")</f>
        <v>#REF!</v>
      </c>
      <c r="CY8" t="e">
        <f>AND(Output!#REF!,"AAAAABzJ12Y=")</f>
        <v>#REF!</v>
      </c>
      <c r="CZ8" t="e">
        <f>AND(Output!#REF!,"AAAAABzJ12c=")</f>
        <v>#REF!</v>
      </c>
      <c r="DA8" t="e">
        <f>AND(Output!#REF!,"AAAAABzJ12g=")</f>
        <v>#REF!</v>
      </c>
      <c r="DB8" t="e">
        <f>AND(Output!#REF!,"AAAAABzJ12k=")</f>
        <v>#REF!</v>
      </c>
      <c r="DC8" t="e">
        <f>AND(Output!#REF!,"AAAAABzJ12o=")</f>
        <v>#REF!</v>
      </c>
      <c r="DD8" t="e">
        <f>AND(Output!#REF!,"AAAAABzJ12s=")</f>
        <v>#REF!</v>
      </c>
      <c r="DE8" t="e">
        <f>AND(Output!#REF!,"AAAAABzJ12w=")</f>
        <v>#REF!</v>
      </c>
      <c r="DF8" t="e">
        <f>IF(Output!#REF!,"AAAAABzJ120=",0)</f>
        <v>#REF!</v>
      </c>
      <c r="DG8" t="e">
        <f>AND(Output!#REF!,"AAAAABzJ124=")</f>
        <v>#REF!</v>
      </c>
      <c r="DH8" t="e">
        <f>AND(Output!#REF!,"AAAAABzJ128=")</f>
        <v>#REF!</v>
      </c>
      <c r="DI8" t="e">
        <f>AND(Output!#REF!,"AAAAABzJ13A=")</f>
        <v>#REF!</v>
      </c>
      <c r="DJ8" t="e">
        <f>AND(Output!#REF!,"AAAAABzJ13E=")</f>
        <v>#REF!</v>
      </c>
      <c r="DK8" t="e">
        <f>AND(Output!#REF!,"AAAAABzJ13I=")</f>
        <v>#REF!</v>
      </c>
      <c r="DL8" t="e">
        <f>AND(Output!#REF!,"AAAAABzJ13M=")</f>
        <v>#REF!</v>
      </c>
      <c r="DM8" t="e">
        <f>AND(Output!#REF!,"AAAAABzJ13Q=")</f>
        <v>#REF!</v>
      </c>
      <c r="DN8" t="e">
        <f>AND(Output!#REF!,"AAAAABzJ13U=")</f>
        <v>#REF!</v>
      </c>
      <c r="DO8" t="e">
        <f>AND(Output!#REF!,"AAAAABzJ13Y=")</f>
        <v>#REF!</v>
      </c>
      <c r="DP8" t="e">
        <f>AND(Output!#REF!,"AAAAABzJ13c=")</f>
        <v>#REF!</v>
      </c>
      <c r="DQ8" t="e">
        <f>AND(Output!#REF!,"AAAAABzJ13g=")</f>
        <v>#REF!</v>
      </c>
      <c r="DR8" t="e">
        <f>AND(Output!#REF!,"AAAAABzJ13k=")</f>
        <v>#REF!</v>
      </c>
      <c r="DS8" t="e">
        <f>IF(Output!#REF!,"AAAAABzJ13o=",0)</f>
        <v>#REF!</v>
      </c>
      <c r="DT8" t="e">
        <f>AND(Output!#REF!,"AAAAABzJ13s=")</f>
        <v>#REF!</v>
      </c>
      <c r="DU8" t="e">
        <f>AND(Output!#REF!,"AAAAABzJ13w=")</f>
        <v>#REF!</v>
      </c>
      <c r="DV8" t="e">
        <f>AND(Output!#REF!,"AAAAABzJ130=")</f>
        <v>#REF!</v>
      </c>
      <c r="DW8" t="e">
        <f>AND(Output!#REF!,"AAAAABzJ134=")</f>
        <v>#REF!</v>
      </c>
      <c r="DX8" t="e">
        <f>AND(Output!#REF!,"AAAAABzJ138=")</f>
        <v>#REF!</v>
      </c>
      <c r="DY8" t="e">
        <f>AND(Output!#REF!,"AAAAABzJ14A=")</f>
        <v>#REF!</v>
      </c>
      <c r="DZ8" t="e">
        <f>AND(Output!#REF!,"AAAAABzJ14E=")</f>
        <v>#REF!</v>
      </c>
      <c r="EA8" t="e">
        <f>AND(Output!#REF!,"AAAAABzJ14I=")</f>
        <v>#REF!</v>
      </c>
      <c r="EB8" t="e">
        <f>AND(Output!#REF!,"AAAAABzJ14M=")</f>
        <v>#REF!</v>
      </c>
      <c r="EC8" t="e">
        <f>AND(Output!#REF!,"AAAAABzJ14Q=")</f>
        <v>#REF!</v>
      </c>
      <c r="ED8" t="e">
        <f>AND(Output!#REF!,"AAAAABzJ14U=")</f>
        <v>#REF!</v>
      </c>
      <c r="EE8" t="e">
        <f>AND(Output!#REF!,"AAAAABzJ14Y=")</f>
        <v>#REF!</v>
      </c>
      <c r="EF8" t="e">
        <f>IF(Output!#REF!,"AAAAABzJ14c=",0)</f>
        <v>#REF!</v>
      </c>
      <c r="EG8" t="e">
        <f>AND(Output!#REF!,"AAAAABzJ14g=")</f>
        <v>#REF!</v>
      </c>
      <c r="EH8" t="e">
        <f>AND(Output!#REF!,"AAAAABzJ14k=")</f>
        <v>#REF!</v>
      </c>
      <c r="EI8" t="e">
        <f>AND(Output!#REF!,"AAAAABzJ14o=")</f>
        <v>#REF!</v>
      </c>
      <c r="EJ8" t="e">
        <f>AND(Output!#REF!,"AAAAABzJ14s=")</f>
        <v>#REF!</v>
      </c>
      <c r="EK8" t="e">
        <f>AND(Output!#REF!,"AAAAABzJ14w=")</f>
        <v>#REF!</v>
      </c>
      <c r="EL8" t="e">
        <f>AND(Output!#REF!,"AAAAABzJ140=")</f>
        <v>#REF!</v>
      </c>
      <c r="EM8" t="e">
        <f>AND(Output!#REF!,"AAAAABzJ144=")</f>
        <v>#REF!</v>
      </c>
      <c r="EN8" t="e">
        <f>AND(Output!#REF!,"AAAAABzJ148=")</f>
        <v>#REF!</v>
      </c>
      <c r="EO8" t="e">
        <f>AND(Output!#REF!,"AAAAABzJ15A=")</f>
        <v>#REF!</v>
      </c>
      <c r="EP8" t="e">
        <f>AND(Output!#REF!,"AAAAABzJ15E=")</f>
        <v>#REF!</v>
      </c>
      <c r="EQ8" t="e">
        <f>AND(Output!#REF!,"AAAAABzJ15I=")</f>
        <v>#REF!</v>
      </c>
      <c r="ER8" t="e">
        <f>AND(Output!#REF!,"AAAAABzJ15M=")</f>
        <v>#REF!</v>
      </c>
      <c r="ES8" t="e">
        <f>IF(Output!#REF!,"AAAAABzJ15Q=",0)</f>
        <v>#REF!</v>
      </c>
      <c r="ET8" t="e">
        <f>AND(Output!#REF!,"AAAAABzJ15U=")</f>
        <v>#REF!</v>
      </c>
      <c r="EU8" t="e">
        <f>AND(Output!#REF!,"AAAAABzJ15Y=")</f>
        <v>#REF!</v>
      </c>
      <c r="EV8" t="e">
        <f>AND(Output!#REF!,"AAAAABzJ15c=")</f>
        <v>#REF!</v>
      </c>
      <c r="EW8" t="e">
        <f>AND(Output!#REF!,"AAAAABzJ15g=")</f>
        <v>#REF!</v>
      </c>
      <c r="EX8" t="e">
        <f>AND(Output!#REF!,"AAAAABzJ15k=")</f>
        <v>#REF!</v>
      </c>
      <c r="EY8" t="e">
        <f>AND(Output!#REF!,"AAAAABzJ15o=")</f>
        <v>#REF!</v>
      </c>
      <c r="EZ8" t="e">
        <f>AND(Output!#REF!,"AAAAABzJ15s=")</f>
        <v>#REF!</v>
      </c>
      <c r="FA8" t="e">
        <f>AND(Output!#REF!,"AAAAABzJ15w=")</f>
        <v>#REF!</v>
      </c>
      <c r="FB8" t="e">
        <f>AND(Output!#REF!,"AAAAABzJ150=")</f>
        <v>#REF!</v>
      </c>
      <c r="FC8" t="e">
        <f>AND(Output!#REF!,"AAAAABzJ154=")</f>
        <v>#REF!</v>
      </c>
      <c r="FD8" t="e">
        <f>AND(Output!#REF!,"AAAAABzJ158=")</f>
        <v>#REF!</v>
      </c>
      <c r="FE8" t="e">
        <f>AND(Output!#REF!,"AAAAABzJ16A=")</f>
        <v>#REF!</v>
      </c>
      <c r="FF8" t="e">
        <f>IF(Output!#REF!,"AAAAABzJ16E=",0)</f>
        <v>#REF!</v>
      </c>
      <c r="FG8" t="e">
        <f>AND(Output!#REF!,"AAAAABzJ16I=")</f>
        <v>#REF!</v>
      </c>
      <c r="FH8" t="e">
        <f>AND(Output!#REF!,"AAAAABzJ16M=")</f>
        <v>#REF!</v>
      </c>
      <c r="FI8" t="e">
        <f>AND(Output!#REF!,"AAAAABzJ16Q=")</f>
        <v>#REF!</v>
      </c>
      <c r="FJ8" t="e">
        <f>AND(Output!#REF!,"AAAAABzJ16U=")</f>
        <v>#REF!</v>
      </c>
      <c r="FK8" t="e">
        <f>AND(Output!#REF!,"AAAAABzJ16Y=")</f>
        <v>#REF!</v>
      </c>
      <c r="FL8" t="e">
        <f>AND(Output!#REF!,"AAAAABzJ16c=")</f>
        <v>#REF!</v>
      </c>
      <c r="FM8" t="e">
        <f>AND(Output!#REF!,"AAAAABzJ16g=")</f>
        <v>#REF!</v>
      </c>
      <c r="FN8" t="e">
        <f>AND(Output!#REF!,"AAAAABzJ16k=")</f>
        <v>#REF!</v>
      </c>
      <c r="FO8" t="e">
        <f>AND(Output!#REF!,"AAAAABzJ16o=")</f>
        <v>#REF!</v>
      </c>
      <c r="FP8" t="e">
        <f>AND(Output!#REF!,"AAAAABzJ16s=")</f>
        <v>#REF!</v>
      </c>
      <c r="FQ8" t="e">
        <f>AND(Output!#REF!,"AAAAABzJ16w=")</f>
        <v>#REF!</v>
      </c>
      <c r="FR8" t="e">
        <f>AND(Output!#REF!,"AAAAABzJ160=")</f>
        <v>#REF!</v>
      </c>
      <c r="FS8" t="e">
        <f>IF(Output!#REF!,"AAAAABzJ164=",0)</f>
        <v>#REF!</v>
      </c>
      <c r="FT8" t="e">
        <f>AND(Output!#REF!,"AAAAABzJ168=")</f>
        <v>#REF!</v>
      </c>
      <c r="FU8" t="e">
        <f>AND(Output!#REF!,"AAAAABzJ17A=")</f>
        <v>#REF!</v>
      </c>
      <c r="FV8" t="e">
        <f>AND(Output!#REF!,"AAAAABzJ17E=")</f>
        <v>#REF!</v>
      </c>
      <c r="FW8" t="e">
        <f>AND(Output!#REF!,"AAAAABzJ17I=")</f>
        <v>#REF!</v>
      </c>
      <c r="FX8" t="e">
        <f>AND(Output!#REF!,"AAAAABzJ17M=")</f>
        <v>#REF!</v>
      </c>
      <c r="FY8" t="e">
        <f>AND(Output!#REF!,"AAAAABzJ17Q=")</f>
        <v>#REF!</v>
      </c>
      <c r="FZ8" t="e">
        <f>AND(Output!#REF!,"AAAAABzJ17U=")</f>
        <v>#REF!</v>
      </c>
      <c r="GA8" t="e">
        <f>AND(Output!#REF!,"AAAAABzJ17Y=")</f>
        <v>#REF!</v>
      </c>
      <c r="GB8" t="e">
        <f>AND(Output!#REF!,"AAAAABzJ17c=")</f>
        <v>#REF!</v>
      </c>
      <c r="GC8" t="e">
        <f>AND(Output!#REF!,"AAAAABzJ17g=")</f>
        <v>#REF!</v>
      </c>
      <c r="GD8" t="e">
        <f>AND(Output!#REF!,"AAAAABzJ17k=")</f>
        <v>#REF!</v>
      </c>
      <c r="GE8" t="e">
        <f>AND(Output!#REF!,"AAAAABzJ17o=")</f>
        <v>#REF!</v>
      </c>
      <c r="GF8" t="e">
        <f>IF(Output!#REF!,"AAAAABzJ17s=",0)</f>
        <v>#REF!</v>
      </c>
      <c r="GG8" t="e">
        <f>AND(Output!#REF!,"AAAAABzJ17w=")</f>
        <v>#REF!</v>
      </c>
      <c r="GH8" t="e">
        <f>AND(Output!#REF!,"AAAAABzJ170=")</f>
        <v>#REF!</v>
      </c>
      <c r="GI8" t="e">
        <f>AND(Output!#REF!,"AAAAABzJ174=")</f>
        <v>#REF!</v>
      </c>
      <c r="GJ8" t="e">
        <f>AND(Output!#REF!,"AAAAABzJ178=")</f>
        <v>#REF!</v>
      </c>
      <c r="GK8" t="e">
        <f>AND(Output!#REF!,"AAAAABzJ18A=")</f>
        <v>#REF!</v>
      </c>
      <c r="GL8" t="e">
        <f>AND(Output!#REF!,"AAAAABzJ18E=")</f>
        <v>#REF!</v>
      </c>
      <c r="GM8" t="e">
        <f>AND(Output!#REF!,"AAAAABzJ18I=")</f>
        <v>#REF!</v>
      </c>
      <c r="GN8" t="e">
        <f>AND(Output!#REF!,"AAAAABzJ18M=")</f>
        <v>#REF!</v>
      </c>
      <c r="GO8" t="e">
        <f>AND(Output!#REF!,"AAAAABzJ18Q=")</f>
        <v>#REF!</v>
      </c>
      <c r="GP8" t="e">
        <f>AND(Output!#REF!,"AAAAABzJ18U=")</f>
        <v>#REF!</v>
      </c>
      <c r="GQ8" t="e">
        <f>AND(Output!#REF!,"AAAAABzJ18Y=")</f>
        <v>#REF!</v>
      </c>
      <c r="GR8" t="e">
        <f>AND(Output!#REF!,"AAAAABzJ18c=")</f>
        <v>#REF!</v>
      </c>
      <c r="GS8" t="e">
        <f>IF(Output!#REF!,"AAAAABzJ18g=",0)</f>
        <v>#REF!</v>
      </c>
      <c r="GT8" t="e">
        <f>AND(Output!#REF!,"AAAAABzJ18k=")</f>
        <v>#REF!</v>
      </c>
      <c r="GU8" t="e">
        <f>AND(Output!#REF!,"AAAAABzJ18o=")</f>
        <v>#REF!</v>
      </c>
      <c r="GV8" t="e">
        <f>AND(Output!#REF!,"AAAAABzJ18s=")</f>
        <v>#REF!</v>
      </c>
      <c r="GW8" t="e">
        <f>AND(Output!#REF!,"AAAAABzJ18w=")</f>
        <v>#REF!</v>
      </c>
      <c r="GX8" t="e">
        <f>AND(Output!#REF!,"AAAAABzJ180=")</f>
        <v>#REF!</v>
      </c>
      <c r="GY8" t="e">
        <f>AND(Output!#REF!,"AAAAABzJ184=")</f>
        <v>#REF!</v>
      </c>
      <c r="GZ8" t="e">
        <f>AND(Output!#REF!,"AAAAABzJ188=")</f>
        <v>#REF!</v>
      </c>
      <c r="HA8" t="e">
        <f>AND(Output!#REF!,"AAAAABzJ19A=")</f>
        <v>#REF!</v>
      </c>
      <c r="HB8" t="e">
        <f>AND(Output!#REF!,"AAAAABzJ19E=")</f>
        <v>#REF!</v>
      </c>
      <c r="HC8" t="e">
        <f>AND(Output!#REF!,"AAAAABzJ19I=")</f>
        <v>#REF!</v>
      </c>
      <c r="HD8" t="e">
        <f>AND(Output!#REF!,"AAAAABzJ19M=")</f>
        <v>#REF!</v>
      </c>
      <c r="HE8" t="e">
        <f>AND(Output!#REF!,"AAAAABzJ19Q=")</f>
        <v>#REF!</v>
      </c>
      <c r="HF8" t="e">
        <f>IF(Output!#REF!,"AAAAABzJ19U=",0)</f>
        <v>#REF!</v>
      </c>
      <c r="HG8" t="e">
        <f>AND(Output!#REF!,"AAAAABzJ19Y=")</f>
        <v>#REF!</v>
      </c>
      <c r="HH8" t="e">
        <f>AND(Output!#REF!,"AAAAABzJ19c=")</f>
        <v>#REF!</v>
      </c>
      <c r="HI8" t="e">
        <f>AND(Output!#REF!,"AAAAABzJ19g=")</f>
        <v>#REF!</v>
      </c>
      <c r="HJ8" t="e">
        <f>AND(Output!#REF!,"AAAAABzJ19k=")</f>
        <v>#REF!</v>
      </c>
      <c r="HK8" t="e">
        <f>AND(Output!#REF!,"AAAAABzJ19o=")</f>
        <v>#REF!</v>
      </c>
      <c r="HL8" t="e">
        <f>AND(Output!#REF!,"AAAAABzJ19s=")</f>
        <v>#REF!</v>
      </c>
      <c r="HM8" t="e">
        <f>AND(Output!#REF!,"AAAAABzJ19w=")</f>
        <v>#REF!</v>
      </c>
      <c r="HN8" t="e">
        <f>AND(Output!#REF!,"AAAAABzJ190=")</f>
        <v>#REF!</v>
      </c>
      <c r="HO8" t="e">
        <f>AND(Output!#REF!,"AAAAABzJ194=")</f>
        <v>#REF!</v>
      </c>
      <c r="HP8" t="e">
        <f>AND(Output!#REF!,"AAAAABzJ198=")</f>
        <v>#REF!</v>
      </c>
      <c r="HQ8" t="e">
        <f>AND(Output!#REF!,"AAAAABzJ1+A=")</f>
        <v>#REF!</v>
      </c>
      <c r="HR8" t="e">
        <f>AND(Output!#REF!,"AAAAABzJ1+E=")</f>
        <v>#REF!</v>
      </c>
      <c r="HS8" t="e">
        <f>IF(Output!#REF!,"AAAAABzJ1+I=",0)</f>
        <v>#REF!</v>
      </c>
      <c r="HT8" t="e">
        <f>AND(Output!#REF!,"AAAAABzJ1+M=")</f>
        <v>#REF!</v>
      </c>
      <c r="HU8" t="e">
        <f>AND(Output!#REF!,"AAAAABzJ1+Q=")</f>
        <v>#REF!</v>
      </c>
      <c r="HV8" t="e">
        <f>AND(Output!#REF!,"AAAAABzJ1+U=")</f>
        <v>#REF!</v>
      </c>
      <c r="HW8" t="e">
        <f>AND(Output!#REF!,"AAAAABzJ1+Y=")</f>
        <v>#REF!</v>
      </c>
      <c r="HX8" t="e">
        <f>AND(Output!#REF!,"AAAAABzJ1+c=")</f>
        <v>#REF!</v>
      </c>
      <c r="HY8" t="e">
        <f>AND(Output!#REF!,"AAAAABzJ1+g=")</f>
        <v>#REF!</v>
      </c>
      <c r="HZ8" t="e">
        <f>AND(Output!#REF!,"AAAAABzJ1+k=")</f>
        <v>#REF!</v>
      </c>
      <c r="IA8" t="e">
        <f>AND(Output!#REF!,"AAAAABzJ1+o=")</f>
        <v>#REF!</v>
      </c>
      <c r="IB8" t="e">
        <f>AND(Output!#REF!,"AAAAABzJ1+s=")</f>
        <v>#REF!</v>
      </c>
      <c r="IC8" t="e">
        <f>AND(Output!#REF!,"AAAAABzJ1+w=")</f>
        <v>#REF!</v>
      </c>
      <c r="ID8" t="e">
        <f>AND(Output!#REF!,"AAAAABzJ1+0=")</f>
        <v>#REF!</v>
      </c>
      <c r="IE8" t="e">
        <f>AND(Output!#REF!,"AAAAABzJ1+4=")</f>
        <v>#REF!</v>
      </c>
      <c r="IF8" t="e">
        <f>IF(Output!#REF!,"AAAAABzJ1+8=",0)</f>
        <v>#REF!</v>
      </c>
      <c r="IG8" t="e">
        <f>AND(Output!#REF!,"AAAAABzJ1/A=")</f>
        <v>#REF!</v>
      </c>
      <c r="IH8" t="e">
        <f>AND(Output!#REF!,"AAAAABzJ1/E=")</f>
        <v>#REF!</v>
      </c>
      <c r="II8" t="e">
        <f>AND(Output!#REF!,"AAAAABzJ1/I=")</f>
        <v>#REF!</v>
      </c>
      <c r="IJ8" t="e">
        <f>AND(Output!#REF!,"AAAAABzJ1/M=")</f>
        <v>#REF!</v>
      </c>
      <c r="IK8" t="e">
        <f>AND(Output!#REF!,"AAAAABzJ1/Q=")</f>
        <v>#REF!</v>
      </c>
      <c r="IL8" t="e">
        <f>AND(Output!#REF!,"AAAAABzJ1/U=")</f>
        <v>#REF!</v>
      </c>
      <c r="IM8" t="e">
        <f>AND(Output!#REF!,"AAAAABzJ1/Y=")</f>
        <v>#REF!</v>
      </c>
      <c r="IN8" t="e">
        <f>AND(Output!#REF!,"AAAAABzJ1/c=")</f>
        <v>#REF!</v>
      </c>
      <c r="IO8" t="e">
        <f>AND(Output!#REF!,"AAAAABzJ1/g=")</f>
        <v>#REF!</v>
      </c>
      <c r="IP8" t="e">
        <f>AND(Output!#REF!,"AAAAABzJ1/k=")</f>
        <v>#REF!</v>
      </c>
      <c r="IQ8" t="e">
        <f>AND(Output!#REF!,"AAAAABzJ1/o=")</f>
        <v>#REF!</v>
      </c>
      <c r="IR8" t="e">
        <f>AND(Output!#REF!,"AAAAABzJ1/s=")</f>
        <v>#REF!</v>
      </c>
      <c r="IS8" t="e">
        <f>IF(Output!#REF!,"AAAAABzJ1/w=",0)</f>
        <v>#REF!</v>
      </c>
      <c r="IT8">
        <f>IF(Output!A:A,"AAAAABzJ1/0=",0)</f>
        <v>0</v>
      </c>
      <c r="IU8">
        <f>IF(Output!B:B,"AAAAABzJ1/4=",0)</f>
        <v>0</v>
      </c>
      <c r="IV8">
        <f>IF(Output!C:C,"AAAAABzJ1/8=",0)</f>
        <v>0</v>
      </c>
    </row>
    <row r="9" spans="1:256">
      <c r="A9">
        <f>IF(Output!D:D,"AAAAAH3//wA=",0)</f>
        <v>0</v>
      </c>
      <c r="B9">
        <f>IF(Output!E:E,"AAAAAH3//wE=",0)</f>
        <v>0</v>
      </c>
      <c r="C9">
        <f>IF(Output!F:F,"AAAAAH3//wI=",0)</f>
        <v>0</v>
      </c>
      <c r="D9">
        <f>IF(Output!G:G,"AAAAAH3//wM=",0)</f>
        <v>0</v>
      </c>
      <c r="E9">
        <f>IF(Output!H:H,"AAAAAH3//wQ=",0)</f>
        <v>0</v>
      </c>
      <c r="F9">
        <f>IF(Output!J:J,"AAAAAH3//wU=",0)</f>
        <v>0</v>
      </c>
      <c r="G9">
        <f>IF(Output!K:K,"AAAAAH3//wY=",0)</f>
        <v>0</v>
      </c>
      <c r="H9">
        <f>IF(Output!L:L,"AAAAAH3//wc=",0)</f>
        <v>0</v>
      </c>
      <c r="I9">
        <f>IF(Output!M:M,"AAAAAH3//wg=",0)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t="e">
        <f>IF(#REF!,"AAAAAEfZ9lc=",0)</f>
        <v>#REF!</v>
      </c>
      <c r="CK18" t="e">
        <f>AND(#REF!,"AAAAAEfZ9lg=")</f>
        <v>#REF!</v>
      </c>
      <c r="CL18" t="e">
        <f>AND(#REF!,"AAAAAEfZ9lk=")</f>
        <v>#REF!</v>
      </c>
      <c r="CM18" t="e">
        <f>AND(#REF!,"AAAAAEfZ9lo=")</f>
        <v>#REF!</v>
      </c>
      <c r="CN18" t="e">
        <f>AND(#REF!,"AAAAAEfZ9ls=")</f>
        <v>#REF!</v>
      </c>
      <c r="CO18" t="e">
        <f>AND(#REF!,"AAAAAEfZ9lw=")</f>
        <v>#REF!</v>
      </c>
      <c r="CP18" t="e">
        <f>AND(#REF!,"AAAAAEfZ9l0=")</f>
        <v>#REF!</v>
      </c>
      <c r="CQ18" t="e">
        <f>AND(#REF!,"AAAAAEfZ9l4=")</f>
        <v>#REF!</v>
      </c>
      <c r="CR18" t="e">
        <f>AND(#REF!,"AAAAAEfZ9l8=")</f>
        <v>#REF!</v>
      </c>
      <c r="CS18" t="e">
        <f>AND(#REF!,"AAAAAEfZ9mA=")</f>
        <v>#REF!</v>
      </c>
      <c r="CT18" t="e">
        <f>AND(#REF!,"AAAAAEfZ9mE=")</f>
        <v>#REF!</v>
      </c>
      <c r="CU18" t="e">
        <f>AND(#REF!,"AAAAAEfZ9mI=")</f>
        <v>#REF!</v>
      </c>
      <c r="CV18" t="e">
        <f>AND(#REF!,"AAAAAEfZ9mM=")</f>
        <v>#REF!</v>
      </c>
      <c r="CW18" t="e">
        <f>AND(#REF!,"AAAAAEfZ9mQ=")</f>
        <v>#REF!</v>
      </c>
      <c r="CX18" t="e">
        <f>AND(#REF!,"AAAAAEfZ9mU=")</f>
        <v>#REF!</v>
      </c>
      <c r="CY18" t="e">
        <f>AND(#REF!,"AAAAAEfZ9mY=")</f>
        <v>#REF!</v>
      </c>
      <c r="CZ18" t="e">
        <f>AND(#REF!,"AAAAAEfZ9mc=")</f>
        <v>#REF!</v>
      </c>
      <c r="DA18" t="e">
        <f>AND(#REF!,"AAAAAEfZ9mg=")</f>
        <v>#REF!</v>
      </c>
      <c r="DB18" t="e">
        <f>AND(#REF!,"AAAAAEfZ9mk=")</f>
        <v>#REF!</v>
      </c>
      <c r="DC18" t="e">
        <f>AND(#REF!,"AAAAAEfZ9mo=")</f>
        <v>#REF!</v>
      </c>
      <c r="DD18" t="e">
        <f>AND(#REF!,"AAAAAEfZ9ms=")</f>
        <v>#REF!</v>
      </c>
      <c r="DE18" t="e">
        <f>IF(#REF!,"AAAAAEfZ9mw=",0)</f>
        <v>#REF!</v>
      </c>
      <c r="DF18" t="e">
        <f>AND(#REF!,"AAAAAEfZ9m0=")</f>
        <v>#REF!</v>
      </c>
      <c r="DG18" t="e">
        <f>AND(#REF!,"AAAAAEfZ9m4=")</f>
        <v>#REF!</v>
      </c>
      <c r="DH18" t="e">
        <f>AND(#REF!,"AAAAAEfZ9m8=")</f>
        <v>#REF!</v>
      </c>
      <c r="DI18" t="e">
        <f>AND(#REF!,"AAAAAEfZ9nA=")</f>
        <v>#REF!</v>
      </c>
      <c r="DJ18" t="e">
        <f>AND(#REF!,"AAAAAEfZ9nE=")</f>
        <v>#REF!</v>
      </c>
      <c r="DK18" t="e">
        <f>AND(#REF!,"AAAAAEfZ9nI=")</f>
        <v>#REF!</v>
      </c>
      <c r="DL18" t="e">
        <f>AND(#REF!,"AAAAAEfZ9nM=")</f>
        <v>#REF!</v>
      </c>
      <c r="DM18" t="e">
        <f>AND(#REF!,"AAAAAEfZ9nQ=")</f>
        <v>#REF!</v>
      </c>
      <c r="DN18" t="e">
        <f>AND(#REF!,"AAAAAEfZ9nU=")</f>
        <v>#REF!</v>
      </c>
      <c r="DO18" t="e">
        <f>AND(#REF!,"AAAAAEfZ9nY=")</f>
        <v>#REF!</v>
      </c>
      <c r="DP18" t="e">
        <f>AND(#REF!,"AAAAAEfZ9nc=")</f>
        <v>#REF!</v>
      </c>
      <c r="DQ18" t="e">
        <f>AND(#REF!,"AAAAAEfZ9ng=")</f>
        <v>#REF!</v>
      </c>
      <c r="DR18" t="e">
        <f>AND(#REF!,"AAAAAEfZ9nk=")</f>
        <v>#REF!</v>
      </c>
      <c r="DS18" t="e">
        <f>AND(#REF!,"AAAAAEfZ9no=")</f>
        <v>#REF!</v>
      </c>
      <c r="DT18" t="e">
        <f>AND(#REF!,"AAAAAEfZ9ns=")</f>
        <v>#REF!</v>
      </c>
      <c r="DU18" t="e">
        <f>AND(#REF!,"AAAAAEfZ9nw=")</f>
        <v>#REF!</v>
      </c>
      <c r="DV18" t="e">
        <f>AND(#REF!,"AAAAAEfZ9n0=")</f>
        <v>#REF!</v>
      </c>
      <c r="DW18" t="e">
        <f>AND(#REF!,"AAAAAEfZ9n4=")</f>
        <v>#REF!</v>
      </c>
      <c r="DX18" t="e">
        <f>AND(#REF!,"AAAAAEfZ9n8=")</f>
        <v>#REF!</v>
      </c>
      <c r="DY18" t="e">
        <f>AND(#REF!,"AAAAAEfZ9oA=")</f>
        <v>#REF!</v>
      </c>
      <c r="DZ18" t="e">
        <f>IF(#REF!,"AAAAAEfZ9oE=",0)</f>
        <v>#REF!</v>
      </c>
      <c r="EA18" t="e">
        <f>AND(#REF!,"AAAAAEfZ9oI=")</f>
        <v>#REF!</v>
      </c>
      <c r="EB18" t="e">
        <f>AND(#REF!,"AAAAAEfZ9oM=")</f>
        <v>#REF!</v>
      </c>
      <c r="EC18" t="e">
        <f>AND(#REF!,"AAAAAEfZ9oQ=")</f>
        <v>#REF!</v>
      </c>
      <c r="ED18" t="e">
        <f>AND(#REF!,"AAAAAEfZ9oU=")</f>
        <v>#REF!</v>
      </c>
      <c r="EE18" t="e">
        <f>AND(#REF!,"AAAAAEfZ9oY=")</f>
        <v>#REF!</v>
      </c>
      <c r="EF18" t="e">
        <f>AND(#REF!,"AAAAAEfZ9oc=")</f>
        <v>#REF!</v>
      </c>
      <c r="EG18" t="e">
        <f>AND(#REF!,"AAAAAEfZ9og=")</f>
        <v>#REF!</v>
      </c>
      <c r="EH18" t="e">
        <f>AND(#REF!,"AAAAAEfZ9ok=")</f>
        <v>#REF!</v>
      </c>
      <c r="EI18" t="e">
        <f>AND(#REF!,"AAAAAEfZ9oo=")</f>
        <v>#REF!</v>
      </c>
      <c r="EJ18" t="e">
        <f>AND(#REF!,"AAAAAEfZ9os=")</f>
        <v>#REF!</v>
      </c>
      <c r="EK18" t="e">
        <f>AND(#REF!,"AAAAAEfZ9ow=")</f>
        <v>#REF!</v>
      </c>
      <c r="EL18" t="e">
        <f>AND(#REF!,"AAAAAEfZ9o0=")</f>
        <v>#REF!</v>
      </c>
      <c r="EM18" t="e">
        <f>AND(#REF!,"AAAAAEfZ9o4=")</f>
        <v>#REF!</v>
      </c>
      <c r="EN18" t="e">
        <f>AND(#REF!,"AAAAAEfZ9o8=")</f>
        <v>#REF!</v>
      </c>
      <c r="EO18" t="e">
        <f>AND(#REF!,"AAAAAEfZ9pA=")</f>
        <v>#REF!</v>
      </c>
      <c r="EP18" t="e">
        <f>AND(#REF!,"AAAAAEfZ9pE=")</f>
        <v>#REF!</v>
      </c>
      <c r="EQ18" t="e">
        <f>AND(#REF!,"AAAAAEfZ9pI=")</f>
        <v>#REF!</v>
      </c>
      <c r="ER18" t="e">
        <f>AND(#REF!,"AAAAAEfZ9pM=")</f>
        <v>#REF!</v>
      </c>
      <c r="ES18" t="e">
        <f>AND(#REF!,"AAAAAEfZ9pQ=")</f>
        <v>#REF!</v>
      </c>
      <c r="ET18" t="e">
        <f>AND(#REF!,"AAAAAEfZ9pU=")</f>
        <v>#REF!</v>
      </c>
      <c r="EU18" t="e">
        <f>IF(#REF!,"AAAAAEfZ9pY=",0)</f>
        <v>#REF!</v>
      </c>
      <c r="EV18" t="e">
        <f>AND(#REF!,"AAAAAEfZ9pc=")</f>
        <v>#REF!</v>
      </c>
      <c r="EW18" t="e">
        <f>AND(#REF!,"AAAAAEfZ9pg=")</f>
        <v>#REF!</v>
      </c>
      <c r="EX18" t="e">
        <f>AND(#REF!,"AAAAAEfZ9pk=")</f>
        <v>#REF!</v>
      </c>
      <c r="EY18" t="e">
        <f>AND(#REF!,"AAAAAEfZ9po=")</f>
        <v>#REF!</v>
      </c>
      <c r="EZ18" t="e">
        <f>AND(#REF!,"AAAAAEfZ9ps=")</f>
        <v>#REF!</v>
      </c>
      <c r="FA18" t="e">
        <f>AND(#REF!,"AAAAAEfZ9pw=")</f>
        <v>#REF!</v>
      </c>
      <c r="FB18" t="e">
        <f>AND(#REF!,"AAAAAEfZ9p0=")</f>
        <v>#REF!</v>
      </c>
      <c r="FC18" t="e">
        <f>AND(#REF!,"AAAAAEfZ9p4=")</f>
        <v>#REF!</v>
      </c>
      <c r="FD18" t="e">
        <f>AND(#REF!,"AAAAAEfZ9p8=")</f>
        <v>#REF!</v>
      </c>
      <c r="FE18" t="e">
        <f>AND(#REF!,"AAAAAEfZ9qA=")</f>
        <v>#REF!</v>
      </c>
      <c r="FF18" t="e">
        <f>AND(#REF!,"AAAAAEfZ9qE=")</f>
        <v>#REF!</v>
      </c>
      <c r="FG18" t="e">
        <f>AND(#REF!,"AAAAAEfZ9qI=")</f>
        <v>#REF!</v>
      </c>
      <c r="FH18" t="e">
        <f>AND(#REF!,"AAAAAEfZ9qM=")</f>
        <v>#REF!</v>
      </c>
      <c r="FI18" t="e">
        <f>AND(#REF!,"AAAAAEfZ9qQ=")</f>
        <v>#REF!</v>
      </c>
      <c r="FJ18" t="e">
        <f>AND(#REF!,"AAAAAEfZ9qU=")</f>
        <v>#REF!</v>
      </c>
      <c r="FK18" t="e">
        <f>AND(#REF!,"AAAAAEfZ9qY=")</f>
        <v>#REF!</v>
      </c>
      <c r="FL18" t="e">
        <f>AND(#REF!,"AAAAAEfZ9qc=")</f>
        <v>#REF!</v>
      </c>
      <c r="FM18" t="e">
        <f>AND(#REF!,"AAAAAEfZ9qg=")</f>
        <v>#REF!</v>
      </c>
      <c r="FN18" t="e">
        <f>AND(#REF!,"AAAAAEfZ9qk=")</f>
        <v>#REF!</v>
      </c>
      <c r="FO18" t="e">
        <f>AND(#REF!,"AAAAAEfZ9qo=")</f>
        <v>#REF!</v>
      </c>
      <c r="FP18" t="e">
        <f>IF(#REF!,"AAAAAEfZ9qs=",0)</f>
        <v>#REF!</v>
      </c>
      <c r="FQ18" t="e">
        <f>AND(#REF!,"AAAAAEfZ9qw=")</f>
        <v>#REF!</v>
      </c>
      <c r="FR18" t="e">
        <f>AND(#REF!,"AAAAAEfZ9q0=")</f>
        <v>#REF!</v>
      </c>
      <c r="FS18" t="e">
        <f>AND(#REF!,"AAAAAEfZ9q4=")</f>
        <v>#REF!</v>
      </c>
      <c r="FT18" t="e">
        <f>AND(#REF!,"AAAAAEfZ9q8=")</f>
        <v>#REF!</v>
      </c>
      <c r="FU18" t="e">
        <f>AND(#REF!,"AAAAAEfZ9rA=")</f>
        <v>#REF!</v>
      </c>
      <c r="FV18" t="e">
        <f>AND(#REF!,"AAAAAEfZ9rE=")</f>
        <v>#REF!</v>
      </c>
      <c r="FW18" t="e">
        <f>AND(#REF!,"AAAAAEfZ9rI=")</f>
        <v>#REF!</v>
      </c>
      <c r="FX18" t="e">
        <f>AND(#REF!,"AAAAAEfZ9rM=")</f>
        <v>#REF!</v>
      </c>
      <c r="FY18" t="e">
        <f>AND(#REF!,"AAAAAEfZ9rQ=")</f>
        <v>#REF!</v>
      </c>
      <c r="FZ18" t="e">
        <f>AND(#REF!,"AAAAAEfZ9rU=")</f>
        <v>#REF!</v>
      </c>
      <c r="GA18" t="e">
        <f>AND(#REF!,"AAAAAEfZ9rY=")</f>
        <v>#REF!</v>
      </c>
      <c r="GB18" t="e">
        <f>AND(#REF!,"AAAAAEfZ9rc=")</f>
        <v>#REF!</v>
      </c>
      <c r="GC18" t="e">
        <f>AND(#REF!,"AAAAAEfZ9rg=")</f>
        <v>#REF!</v>
      </c>
      <c r="GD18" t="e">
        <f>AND(#REF!,"AAAAAEfZ9rk=")</f>
        <v>#REF!</v>
      </c>
      <c r="GE18" t="e">
        <f>AND(#REF!,"AAAAAEfZ9ro=")</f>
        <v>#REF!</v>
      </c>
      <c r="GF18" t="e">
        <f>AND(#REF!,"AAAAAEfZ9rs=")</f>
        <v>#REF!</v>
      </c>
      <c r="GG18" t="e">
        <f>AND(#REF!,"AAAAAEfZ9rw=")</f>
        <v>#REF!</v>
      </c>
      <c r="GH18" t="e">
        <f>AND(#REF!,"AAAAAEfZ9r0=")</f>
        <v>#REF!</v>
      </c>
      <c r="GI18" t="e">
        <f>AND(#REF!,"AAAAAEfZ9r4=")</f>
        <v>#REF!</v>
      </c>
      <c r="GJ18" t="e">
        <f>AND(#REF!,"AAAAAEfZ9r8=")</f>
        <v>#REF!</v>
      </c>
      <c r="GK18" t="e">
        <f>IF(#REF!,"AAAAAEfZ9sA=",0)</f>
        <v>#REF!</v>
      </c>
      <c r="GL18" t="e">
        <f>AND(#REF!,"AAAAAEfZ9sE=")</f>
        <v>#REF!</v>
      </c>
      <c r="GM18" t="e">
        <f>AND(#REF!,"AAAAAEfZ9sI=")</f>
        <v>#REF!</v>
      </c>
      <c r="GN18" t="e">
        <f>AND(#REF!,"AAAAAEfZ9sM=")</f>
        <v>#REF!</v>
      </c>
      <c r="GO18" t="e">
        <f>AND(#REF!,"AAAAAEfZ9sQ=")</f>
        <v>#REF!</v>
      </c>
      <c r="GP18" t="e">
        <f>AND(#REF!,"AAAAAEfZ9sU=")</f>
        <v>#REF!</v>
      </c>
      <c r="GQ18" t="e">
        <f>AND(#REF!,"AAAAAEfZ9sY=")</f>
        <v>#REF!</v>
      </c>
      <c r="GR18" t="e">
        <f>AND(#REF!,"AAAAAEfZ9sc=")</f>
        <v>#REF!</v>
      </c>
      <c r="GS18" t="e">
        <f>AND(#REF!,"AAAAAEfZ9sg=")</f>
        <v>#REF!</v>
      </c>
      <c r="GT18" t="e">
        <f>AND(#REF!,"AAAAAEfZ9sk=")</f>
        <v>#REF!</v>
      </c>
      <c r="GU18" t="e">
        <f>AND(#REF!,"AAAAAEfZ9so=")</f>
        <v>#REF!</v>
      </c>
      <c r="GV18" t="e">
        <f>AND(#REF!,"AAAAAEfZ9ss=")</f>
        <v>#REF!</v>
      </c>
      <c r="GW18" t="e">
        <f>AND(#REF!,"AAAAAEfZ9sw=")</f>
        <v>#REF!</v>
      </c>
      <c r="GX18" t="e">
        <f>AND(#REF!,"AAAAAEfZ9s0=")</f>
        <v>#REF!</v>
      </c>
      <c r="GY18" t="e">
        <f>AND(#REF!,"AAAAAEfZ9s4=")</f>
        <v>#REF!</v>
      </c>
      <c r="GZ18" t="e">
        <f>AND(#REF!,"AAAAAEfZ9s8=")</f>
        <v>#REF!</v>
      </c>
      <c r="HA18" t="e">
        <f>AND(#REF!,"AAAAAEfZ9tA=")</f>
        <v>#REF!</v>
      </c>
      <c r="HB18" t="e">
        <f>AND(#REF!,"AAAAAEfZ9tE=")</f>
        <v>#REF!</v>
      </c>
      <c r="HC18" t="e">
        <f>AND(#REF!,"AAAAAEfZ9tI=")</f>
        <v>#REF!</v>
      </c>
      <c r="HD18" t="e">
        <f>AND(#REF!,"AAAAAEfZ9tM=")</f>
        <v>#REF!</v>
      </c>
      <c r="HE18" t="e">
        <f>AND(#REF!,"AAAAAEfZ9tQ=")</f>
        <v>#REF!</v>
      </c>
      <c r="HF18" t="e">
        <f>IF(#REF!,"AAAAAEfZ9tU=",0)</f>
        <v>#REF!</v>
      </c>
      <c r="HG18" t="e">
        <f>AND(#REF!,"AAAAAEfZ9tY=")</f>
        <v>#REF!</v>
      </c>
      <c r="HH18" t="e">
        <f>AND(#REF!,"AAAAAEfZ9tc=")</f>
        <v>#REF!</v>
      </c>
      <c r="HI18" t="e">
        <f>AND(#REF!,"AAAAAEfZ9tg=")</f>
        <v>#REF!</v>
      </c>
      <c r="HJ18" t="e">
        <f>AND(#REF!,"AAAAAEfZ9tk=")</f>
        <v>#REF!</v>
      </c>
      <c r="HK18" t="e">
        <f>AND(#REF!,"AAAAAEfZ9to=")</f>
        <v>#REF!</v>
      </c>
      <c r="HL18" t="e">
        <f>AND(#REF!,"AAAAAEfZ9ts=")</f>
        <v>#REF!</v>
      </c>
      <c r="HM18" t="e">
        <f>AND(#REF!,"AAAAAEfZ9tw=")</f>
        <v>#REF!</v>
      </c>
      <c r="HN18" t="e">
        <f>AND(#REF!,"AAAAAEfZ9t0=")</f>
        <v>#REF!</v>
      </c>
      <c r="HO18" t="e">
        <f>AND(#REF!,"AAAAAEfZ9t4=")</f>
        <v>#REF!</v>
      </c>
      <c r="HP18" t="e">
        <f>AND(#REF!,"AAAAAEfZ9t8=")</f>
        <v>#REF!</v>
      </c>
      <c r="HQ18" t="e">
        <f>AND(#REF!,"AAAAAEfZ9uA=")</f>
        <v>#REF!</v>
      </c>
      <c r="HR18" t="e">
        <f>AND(#REF!,"AAAAAEfZ9uE=")</f>
        <v>#REF!</v>
      </c>
      <c r="HS18" t="e">
        <f>AND(#REF!,"AAAAAEfZ9uI=")</f>
        <v>#REF!</v>
      </c>
      <c r="HT18" t="e">
        <f>AND(#REF!,"AAAAAEfZ9uM=")</f>
        <v>#REF!</v>
      </c>
      <c r="HU18" t="e">
        <f>AND(#REF!,"AAAAAEfZ9uQ=")</f>
        <v>#REF!</v>
      </c>
      <c r="HV18" t="e">
        <f>AND(#REF!,"AAAAAEfZ9uU=")</f>
        <v>#REF!</v>
      </c>
      <c r="HW18" t="e">
        <f>AND(#REF!,"AAAAAEfZ9uY=")</f>
        <v>#REF!</v>
      </c>
      <c r="HX18" t="e">
        <f>AND(#REF!,"AAAAAEfZ9uc=")</f>
        <v>#REF!</v>
      </c>
      <c r="HY18" t="e">
        <f>AND(#REF!,"AAAAAEfZ9ug=")</f>
        <v>#REF!</v>
      </c>
      <c r="HZ18" t="e">
        <f>AND(#REF!,"AAAAAEfZ9uk=")</f>
        <v>#REF!</v>
      </c>
      <c r="IA18" t="e">
        <f>IF(#REF!,"AAAAAEfZ9uo=",0)</f>
        <v>#REF!</v>
      </c>
      <c r="IB18" t="e">
        <f>AND(#REF!,"AAAAAEfZ9us=")</f>
        <v>#REF!</v>
      </c>
      <c r="IC18" t="e">
        <f>AND(#REF!,"AAAAAEfZ9uw=")</f>
        <v>#REF!</v>
      </c>
      <c r="ID18" t="e">
        <f>AND(#REF!,"AAAAAEfZ9u0=")</f>
        <v>#REF!</v>
      </c>
      <c r="IE18" t="e">
        <f>AND(#REF!,"AAAAAEfZ9u4=")</f>
        <v>#REF!</v>
      </c>
      <c r="IF18" t="e">
        <f>AND(#REF!,"AAAAAEfZ9u8=")</f>
        <v>#REF!</v>
      </c>
      <c r="IG18" t="e">
        <f>AND(#REF!,"AAAAAEfZ9vA=")</f>
        <v>#REF!</v>
      </c>
      <c r="IH18" t="e">
        <f>AND(#REF!,"AAAAAEfZ9vE=")</f>
        <v>#REF!</v>
      </c>
      <c r="II18" t="e">
        <f>AND(#REF!,"AAAAAEfZ9vI=")</f>
        <v>#REF!</v>
      </c>
      <c r="IJ18" t="e">
        <f>AND(#REF!,"AAAAAEfZ9vM=")</f>
        <v>#REF!</v>
      </c>
      <c r="IK18" t="e">
        <f>AND(#REF!,"AAAAAEfZ9vQ=")</f>
        <v>#REF!</v>
      </c>
      <c r="IL18" t="e">
        <f>AND(#REF!,"AAAAAEfZ9vU=")</f>
        <v>#REF!</v>
      </c>
      <c r="IM18" t="e">
        <f>AND(#REF!,"AAAAAEfZ9vY=")</f>
        <v>#REF!</v>
      </c>
      <c r="IN18" t="e">
        <f>AND(#REF!,"AAAAAEfZ9vc=")</f>
        <v>#REF!</v>
      </c>
      <c r="IO18" t="e">
        <f>AND(#REF!,"AAAAAEfZ9vg=")</f>
        <v>#REF!</v>
      </c>
      <c r="IP18" t="e">
        <f>AND(#REF!,"AAAAAEfZ9vk=")</f>
        <v>#REF!</v>
      </c>
      <c r="IQ18" t="e">
        <f>AND(#REF!,"AAAAAEfZ9vo=")</f>
        <v>#REF!</v>
      </c>
      <c r="IR18" t="e">
        <f>AND(#REF!,"AAAAAEfZ9vs=")</f>
        <v>#REF!</v>
      </c>
      <c r="IS18" t="e">
        <f>AND(#REF!,"AAAAAEfZ9vw=")</f>
        <v>#REF!</v>
      </c>
      <c r="IT18" t="e">
        <f>AND(#REF!,"AAAAAEfZ9v0=")</f>
        <v>#REF!</v>
      </c>
      <c r="IU18" t="e">
        <f>AND(#REF!,"AAAAAEfZ9v4=")</f>
        <v>#REF!</v>
      </c>
      <c r="IV18" t="e">
        <f>IF(#REF!,"AAAAAEfZ9v8=",0)</f>
        <v>#REF!</v>
      </c>
    </row>
    <row r="19" spans="1:256">
      <c r="A19" t="e">
        <f>AND(#REF!,"AAAAAH8g/wA=")</f>
        <v>#REF!</v>
      </c>
      <c r="B19" t="e">
        <f>AND(#REF!,"AAAAAH8g/wE=")</f>
        <v>#REF!</v>
      </c>
      <c r="C19" t="e">
        <f>AND(#REF!,"AAAAAH8g/wI=")</f>
        <v>#REF!</v>
      </c>
      <c r="D19" t="e">
        <f>AND(#REF!,"AAAAAH8g/wM=")</f>
        <v>#REF!</v>
      </c>
      <c r="E19" t="e">
        <f>AND(#REF!,"AAAAAH8g/wQ=")</f>
        <v>#REF!</v>
      </c>
      <c r="F19" t="e">
        <f>AND(#REF!,"AAAAAH8g/wU=")</f>
        <v>#REF!</v>
      </c>
      <c r="G19" t="e">
        <f>AND(#REF!,"AAAAAH8g/wY=")</f>
        <v>#REF!</v>
      </c>
      <c r="H19" t="e">
        <f>AND(#REF!,"AAAAAH8g/wc=")</f>
        <v>#REF!</v>
      </c>
      <c r="I19" t="e">
        <f>AND(#REF!,"AAAAAH8g/wg=")</f>
        <v>#REF!</v>
      </c>
      <c r="J19" t="e">
        <f>AND(#REF!,"AAAAAH8g/wk=")</f>
        <v>#REF!</v>
      </c>
      <c r="K19" t="e">
        <f>AND(#REF!,"AAAAAH8g/wo=")</f>
        <v>#REF!</v>
      </c>
      <c r="L19" t="e">
        <f>AND(#REF!,"AAAAAH8g/ws=")</f>
        <v>#REF!</v>
      </c>
      <c r="M19" t="e">
        <f>AND(#REF!,"AAAAAH8g/ww=")</f>
        <v>#REF!</v>
      </c>
      <c r="N19" t="e">
        <f>AND(#REF!,"AAAAAH8g/w0=")</f>
        <v>#REF!</v>
      </c>
      <c r="O19" t="e">
        <f>AND(#REF!,"AAAAAH8g/w4=")</f>
        <v>#REF!</v>
      </c>
      <c r="P19" t="e">
        <f>AND(#REF!,"AAAAAH8g/w8=")</f>
        <v>#REF!</v>
      </c>
      <c r="Q19" t="e">
        <f>AND(#REF!,"AAAAAH8g/xA=")</f>
        <v>#REF!</v>
      </c>
      <c r="R19" t="e">
        <f>AND(#REF!,"AAAAAH8g/xE=")</f>
        <v>#REF!</v>
      </c>
      <c r="S19" t="e">
        <f>AND(#REF!,"AAAAAH8g/xI=")</f>
        <v>#REF!</v>
      </c>
      <c r="T19" t="e">
        <f>AND(#REF!,"AAAAAH8g/xM=")</f>
        <v>#REF!</v>
      </c>
      <c r="U19" t="e">
        <f>IF(#REF!,"AAAAAH8g/xQ=",0)</f>
        <v>#REF!</v>
      </c>
      <c r="V19" t="e">
        <f>AND(#REF!,"AAAAAH8g/xU=")</f>
        <v>#REF!</v>
      </c>
      <c r="W19" t="e">
        <f>AND(#REF!,"AAAAAH8g/xY=")</f>
        <v>#REF!</v>
      </c>
      <c r="X19" t="e">
        <f>AND(#REF!,"AAAAAH8g/xc=")</f>
        <v>#REF!</v>
      </c>
      <c r="Y19" t="e">
        <f>AND(#REF!,"AAAAAH8g/xg=")</f>
        <v>#REF!</v>
      </c>
      <c r="Z19" t="e">
        <f>AND(#REF!,"AAAAAH8g/xk=")</f>
        <v>#REF!</v>
      </c>
      <c r="AA19" t="e">
        <f>AND(#REF!,"AAAAAH8g/xo=")</f>
        <v>#REF!</v>
      </c>
      <c r="AB19" t="e">
        <f>AND(#REF!,"AAAAAH8g/xs=")</f>
        <v>#REF!</v>
      </c>
      <c r="AC19" t="e">
        <f>AND(#REF!,"AAAAAH8g/xw=")</f>
        <v>#REF!</v>
      </c>
      <c r="AD19" t="e">
        <f>AND(#REF!,"AAAAAH8g/x0=")</f>
        <v>#REF!</v>
      </c>
      <c r="AE19" t="e">
        <f>AND(#REF!,"AAAAAH8g/x4=")</f>
        <v>#REF!</v>
      </c>
      <c r="AF19" t="e">
        <f>AND(#REF!,"AAAAAH8g/x8=")</f>
        <v>#REF!</v>
      </c>
      <c r="AG19" t="e">
        <f>AND(#REF!,"AAAAAH8g/yA=")</f>
        <v>#REF!</v>
      </c>
      <c r="AH19" t="e">
        <f>AND(#REF!,"AAAAAH8g/yE=")</f>
        <v>#REF!</v>
      </c>
      <c r="AI19" t="e">
        <f>AND(#REF!,"AAAAAH8g/yI=")</f>
        <v>#REF!</v>
      </c>
      <c r="AJ19" t="e">
        <f>AND(#REF!,"AAAAAH8g/yM=")</f>
        <v>#REF!</v>
      </c>
      <c r="AK19" t="e">
        <f>AND(#REF!,"AAAAAH8g/yQ=")</f>
        <v>#REF!</v>
      </c>
      <c r="AL19" t="e">
        <f>AND(#REF!,"AAAAAH8g/yU=")</f>
        <v>#REF!</v>
      </c>
      <c r="AM19" t="e">
        <f>AND(#REF!,"AAAAAH8g/yY=")</f>
        <v>#REF!</v>
      </c>
      <c r="AN19" t="e">
        <f>AND(#REF!,"AAAAAH8g/yc=")</f>
        <v>#REF!</v>
      </c>
      <c r="AO19" t="e">
        <f>AND(#REF!,"AAAAAH8g/yg=")</f>
        <v>#REF!</v>
      </c>
      <c r="AP19" t="e">
        <f>IF(#REF!,"AAAAAH8g/yk=",0)</f>
        <v>#REF!</v>
      </c>
      <c r="AQ19" t="e">
        <f>AND(#REF!,"AAAAAH8g/yo=")</f>
        <v>#REF!</v>
      </c>
      <c r="AR19" t="e">
        <f>AND(#REF!,"AAAAAH8g/ys=")</f>
        <v>#REF!</v>
      </c>
      <c r="AS19" t="e">
        <f>AND(#REF!,"AAAAAH8g/yw=")</f>
        <v>#REF!</v>
      </c>
      <c r="AT19" t="e">
        <f>AND(#REF!,"AAAAAH8g/y0=")</f>
        <v>#REF!</v>
      </c>
      <c r="AU19" t="e">
        <f>AND(#REF!,"AAAAAH8g/y4=")</f>
        <v>#REF!</v>
      </c>
      <c r="AV19" t="e">
        <f>AND(#REF!,"AAAAAH8g/y8=")</f>
        <v>#REF!</v>
      </c>
      <c r="AW19" t="e">
        <f>AND(#REF!,"AAAAAH8g/zA=")</f>
        <v>#REF!</v>
      </c>
      <c r="AX19" t="e">
        <f>AND(#REF!,"AAAAAH8g/zE=")</f>
        <v>#REF!</v>
      </c>
      <c r="AY19" t="e">
        <f>AND(#REF!,"AAAAAH8g/zI=")</f>
        <v>#REF!</v>
      </c>
      <c r="AZ19" t="e">
        <f>AND(#REF!,"AAAAAH8g/zM=")</f>
        <v>#REF!</v>
      </c>
      <c r="BA19" t="e">
        <f>AND(#REF!,"AAAAAH8g/zQ=")</f>
        <v>#REF!</v>
      </c>
      <c r="BB19" t="e">
        <f>AND(#REF!,"AAAAAH8g/zU=")</f>
        <v>#REF!</v>
      </c>
      <c r="BC19" t="e">
        <f>AND(#REF!,"AAAAAH8g/zY=")</f>
        <v>#REF!</v>
      </c>
      <c r="BD19" t="e">
        <f>AND(#REF!,"AAAAAH8g/zc=")</f>
        <v>#REF!</v>
      </c>
      <c r="BE19" t="e">
        <f>AND(#REF!,"AAAAAH8g/zg=")</f>
        <v>#REF!</v>
      </c>
      <c r="BF19" t="e">
        <f>AND(#REF!,"AAAAAH8g/zk=")</f>
        <v>#REF!</v>
      </c>
      <c r="BG19" t="e">
        <f>AND(#REF!,"AAAAAH8g/zo=")</f>
        <v>#REF!</v>
      </c>
      <c r="BH19" t="e">
        <f>AND(#REF!,"AAAAAH8g/zs=")</f>
        <v>#REF!</v>
      </c>
      <c r="BI19" t="e">
        <f>AND(#REF!,"AAAAAH8g/zw=")</f>
        <v>#REF!</v>
      </c>
      <c r="BJ19" t="e">
        <f>AND(#REF!,"AAAAAH8g/z0=")</f>
        <v>#REF!</v>
      </c>
      <c r="BK19" t="e">
        <f>IF(#REF!,"AAAAAH8g/z4=",0)</f>
        <v>#REF!</v>
      </c>
      <c r="BL19" t="e">
        <f>AND(#REF!,"AAAAAH8g/z8=")</f>
        <v>#REF!</v>
      </c>
      <c r="BM19" t="e">
        <f>AND(#REF!,"AAAAAH8g/0A=")</f>
        <v>#REF!</v>
      </c>
      <c r="BN19" t="e">
        <f>AND(#REF!,"AAAAAH8g/0E=")</f>
        <v>#REF!</v>
      </c>
      <c r="BO19" t="e">
        <f>AND(#REF!,"AAAAAH8g/0I=")</f>
        <v>#REF!</v>
      </c>
      <c r="BP19" t="e">
        <f>AND(#REF!,"AAAAAH8g/0M=")</f>
        <v>#REF!</v>
      </c>
      <c r="BQ19" t="e">
        <f>AND(#REF!,"AAAAAH8g/0Q=")</f>
        <v>#REF!</v>
      </c>
      <c r="BR19" t="e">
        <f>AND(#REF!,"AAAAAH8g/0U=")</f>
        <v>#REF!</v>
      </c>
      <c r="BS19" t="e">
        <f>AND(#REF!,"AAAAAH8g/0Y=")</f>
        <v>#REF!</v>
      </c>
      <c r="BT19" t="e">
        <f>AND(#REF!,"AAAAAH8g/0c=")</f>
        <v>#REF!</v>
      </c>
      <c r="BU19" t="e">
        <f>AND(#REF!,"AAAAAH8g/0g=")</f>
        <v>#REF!</v>
      </c>
      <c r="BV19" t="e">
        <f>AND(#REF!,"AAAAAH8g/0k=")</f>
        <v>#REF!</v>
      </c>
      <c r="BW19" t="e">
        <f>AND(#REF!,"AAAAAH8g/0o=")</f>
        <v>#REF!</v>
      </c>
      <c r="BX19" t="e">
        <f>AND(#REF!,"AAAAAH8g/0s=")</f>
        <v>#REF!</v>
      </c>
      <c r="BY19" t="e">
        <f>AND(#REF!,"AAAAAH8g/0w=")</f>
        <v>#REF!</v>
      </c>
      <c r="BZ19" t="e">
        <f>AND(#REF!,"AAAAAH8g/00=")</f>
        <v>#REF!</v>
      </c>
      <c r="CA19" t="e">
        <f>AND(#REF!,"AAAAAH8g/04=")</f>
        <v>#REF!</v>
      </c>
      <c r="CB19" t="e">
        <f>AND(#REF!,"AAAAAH8g/08=")</f>
        <v>#REF!</v>
      </c>
      <c r="CC19" t="e">
        <f>AND(#REF!,"AAAAAH8g/1A=")</f>
        <v>#REF!</v>
      </c>
      <c r="CD19" t="e">
        <f>AND(#REF!,"AAAAAH8g/1E=")</f>
        <v>#REF!</v>
      </c>
      <c r="CE19" t="e">
        <f>AND(#REF!,"AAAAAH8g/1I=")</f>
        <v>#REF!</v>
      </c>
      <c r="CF19" t="e">
        <f>IF(#REF!,"AAAAAH8g/1M=",0)</f>
        <v>#REF!</v>
      </c>
      <c r="CG19" t="e">
        <f>AND(#REF!,"AAAAAH8g/1Q=")</f>
        <v>#REF!</v>
      </c>
      <c r="CH19" t="e">
        <f>AND(#REF!,"AAAAAH8g/1U=")</f>
        <v>#REF!</v>
      </c>
      <c r="CI19" t="e">
        <f>AND(#REF!,"AAAAAH8g/1Y=")</f>
        <v>#REF!</v>
      </c>
      <c r="CJ19" t="e">
        <f>AND(#REF!,"AAAAAH8g/1c=")</f>
        <v>#REF!</v>
      </c>
      <c r="CK19" t="e">
        <f>AND(#REF!,"AAAAAH8g/1g=")</f>
        <v>#REF!</v>
      </c>
      <c r="CL19" t="e">
        <f>AND(#REF!,"AAAAAH8g/1k=")</f>
        <v>#REF!</v>
      </c>
      <c r="CM19" t="e">
        <f>AND(#REF!,"AAAAAH8g/1o=")</f>
        <v>#REF!</v>
      </c>
      <c r="CN19" t="e">
        <f>AND(#REF!,"AAAAAH8g/1s=")</f>
        <v>#REF!</v>
      </c>
      <c r="CO19" t="e">
        <f>AND(#REF!,"AAAAAH8g/1w=")</f>
        <v>#REF!</v>
      </c>
      <c r="CP19" t="e">
        <f>AND(#REF!,"AAAAAH8g/10=")</f>
        <v>#REF!</v>
      </c>
      <c r="CQ19" t="e">
        <f>AND(#REF!,"AAAAAH8g/14=")</f>
        <v>#REF!</v>
      </c>
      <c r="CR19" t="e">
        <f>AND(#REF!,"AAAAAH8g/18=")</f>
        <v>#REF!</v>
      </c>
      <c r="CS19" t="e">
        <f>AND(#REF!,"AAAAAH8g/2A=")</f>
        <v>#REF!</v>
      </c>
      <c r="CT19" t="e">
        <f>AND(#REF!,"AAAAAH8g/2E=")</f>
        <v>#REF!</v>
      </c>
      <c r="CU19" t="e">
        <f>AND(#REF!,"AAAAAH8g/2I=")</f>
        <v>#REF!</v>
      </c>
      <c r="CV19" t="e">
        <f>AND(#REF!,"AAAAAH8g/2M=")</f>
        <v>#REF!</v>
      </c>
      <c r="CW19" t="e">
        <f>AND(#REF!,"AAAAAH8g/2Q=")</f>
        <v>#REF!</v>
      </c>
      <c r="CX19" t="e">
        <f>AND(#REF!,"AAAAAH8g/2U=")</f>
        <v>#REF!</v>
      </c>
      <c r="CY19" t="e">
        <f>AND(#REF!,"AAAAAH8g/2Y=")</f>
        <v>#REF!</v>
      </c>
      <c r="CZ19" t="e">
        <f>AND(#REF!,"AAAAAH8g/2c=")</f>
        <v>#REF!</v>
      </c>
      <c r="DA19" t="e">
        <f>IF(#REF!,"AAAAAH8g/2g=",0)</f>
        <v>#REF!</v>
      </c>
      <c r="DB19" t="e">
        <f>AND(#REF!,"AAAAAH8g/2k=")</f>
        <v>#REF!</v>
      </c>
      <c r="DC19" t="e">
        <f>AND(#REF!,"AAAAAH8g/2o=")</f>
        <v>#REF!</v>
      </c>
      <c r="DD19" t="e">
        <f>AND(#REF!,"AAAAAH8g/2s=")</f>
        <v>#REF!</v>
      </c>
      <c r="DE19" t="e">
        <f>AND(#REF!,"AAAAAH8g/2w=")</f>
        <v>#REF!</v>
      </c>
      <c r="DF19" t="e">
        <f>AND(#REF!,"AAAAAH8g/20=")</f>
        <v>#REF!</v>
      </c>
      <c r="DG19" t="e">
        <f>AND(#REF!,"AAAAAH8g/24=")</f>
        <v>#REF!</v>
      </c>
      <c r="DH19" t="e">
        <f>AND(#REF!,"AAAAAH8g/28=")</f>
        <v>#REF!</v>
      </c>
      <c r="DI19" t="e">
        <f>AND(#REF!,"AAAAAH8g/3A=")</f>
        <v>#REF!</v>
      </c>
      <c r="DJ19" t="e">
        <f>AND(#REF!,"AAAAAH8g/3E=")</f>
        <v>#REF!</v>
      </c>
      <c r="DK19" t="e">
        <f>AND(#REF!,"AAAAAH8g/3I=")</f>
        <v>#REF!</v>
      </c>
      <c r="DL19" t="e">
        <f>AND(#REF!,"AAAAAH8g/3M=")</f>
        <v>#REF!</v>
      </c>
      <c r="DM19" t="e">
        <f>AND(#REF!,"AAAAAH8g/3Q=")</f>
        <v>#REF!</v>
      </c>
      <c r="DN19" t="e">
        <f>AND(#REF!,"AAAAAH8g/3U=")</f>
        <v>#REF!</v>
      </c>
      <c r="DO19" t="e">
        <f>AND(#REF!,"AAAAAH8g/3Y=")</f>
        <v>#REF!</v>
      </c>
      <c r="DP19" t="e">
        <f>AND(#REF!,"AAAAAH8g/3c=")</f>
        <v>#REF!</v>
      </c>
      <c r="DQ19" t="e">
        <f>AND(#REF!,"AAAAAH8g/3g=")</f>
        <v>#REF!</v>
      </c>
      <c r="DR19" t="e">
        <f>AND(#REF!,"AAAAAH8g/3k=")</f>
        <v>#REF!</v>
      </c>
      <c r="DS19" t="e">
        <f>AND(#REF!,"AAAAAH8g/3o=")</f>
        <v>#REF!</v>
      </c>
      <c r="DT19" t="e">
        <f>AND(#REF!,"AAAAAH8g/3s=")</f>
        <v>#REF!</v>
      </c>
      <c r="DU19" t="e">
        <f>AND(#REF!,"AAAAAH8g/3w=")</f>
        <v>#REF!</v>
      </c>
      <c r="DV19" t="e">
        <f>IF(#REF!,"AAAAAH8g/30=",0)</f>
        <v>#REF!</v>
      </c>
      <c r="DW19" t="e">
        <f>AND(#REF!,"AAAAAH8g/34=")</f>
        <v>#REF!</v>
      </c>
      <c r="DX19" t="e">
        <f>AND(#REF!,"AAAAAH8g/38=")</f>
        <v>#REF!</v>
      </c>
      <c r="DY19" t="e">
        <f>AND(#REF!,"AAAAAH8g/4A=")</f>
        <v>#REF!</v>
      </c>
      <c r="DZ19" t="e">
        <f>AND(#REF!,"AAAAAH8g/4E=")</f>
        <v>#REF!</v>
      </c>
      <c r="EA19" t="e">
        <f>AND(#REF!,"AAAAAH8g/4I=")</f>
        <v>#REF!</v>
      </c>
      <c r="EB19" t="e">
        <f>AND(#REF!,"AAAAAH8g/4M=")</f>
        <v>#REF!</v>
      </c>
      <c r="EC19" t="e">
        <f>AND(#REF!,"AAAAAH8g/4Q=")</f>
        <v>#REF!</v>
      </c>
      <c r="ED19" t="e">
        <f>AND(#REF!,"AAAAAH8g/4U=")</f>
        <v>#REF!</v>
      </c>
      <c r="EE19" t="e">
        <f>AND(#REF!,"AAAAAH8g/4Y=")</f>
        <v>#REF!</v>
      </c>
      <c r="EF19" t="e">
        <f>AND(#REF!,"AAAAAH8g/4c=")</f>
        <v>#REF!</v>
      </c>
      <c r="EG19" t="e">
        <f>AND(#REF!,"AAAAAH8g/4g=")</f>
        <v>#REF!</v>
      </c>
      <c r="EH19" t="e">
        <f>AND(#REF!,"AAAAAH8g/4k=")</f>
        <v>#REF!</v>
      </c>
      <c r="EI19" t="e">
        <f>AND(#REF!,"AAAAAH8g/4o=")</f>
        <v>#REF!</v>
      </c>
      <c r="EJ19" t="e">
        <f>AND(#REF!,"AAAAAH8g/4s=")</f>
        <v>#REF!</v>
      </c>
      <c r="EK19" t="e">
        <f>AND(#REF!,"AAAAAH8g/4w=")</f>
        <v>#REF!</v>
      </c>
      <c r="EL19" t="e">
        <f>AND(#REF!,"AAAAAH8g/40=")</f>
        <v>#REF!</v>
      </c>
      <c r="EM19" t="e">
        <f>AND(#REF!,"AAAAAH8g/44=")</f>
        <v>#REF!</v>
      </c>
      <c r="EN19" t="e">
        <f>AND(#REF!,"AAAAAH8g/48=")</f>
        <v>#REF!</v>
      </c>
      <c r="EO19" t="e">
        <f>AND(#REF!,"AAAAAH8g/5A=")</f>
        <v>#REF!</v>
      </c>
      <c r="EP19" t="e">
        <f>AND(#REF!,"AAAAAH8g/5E=")</f>
        <v>#REF!</v>
      </c>
      <c r="EQ19" t="e">
        <f>IF(#REF!,"AAAAAH8g/5I=",0)</f>
        <v>#REF!</v>
      </c>
      <c r="ER19" t="e">
        <f>AND(#REF!,"AAAAAH8g/5M=")</f>
        <v>#REF!</v>
      </c>
      <c r="ES19" t="e">
        <f>AND(#REF!,"AAAAAH8g/5Q=")</f>
        <v>#REF!</v>
      </c>
      <c r="ET19" t="e">
        <f>AND(#REF!,"AAAAAH8g/5U=")</f>
        <v>#REF!</v>
      </c>
      <c r="EU19" t="e">
        <f>AND(#REF!,"AAAAAH8g/5Y=")</f>
        <v>#REF!</v>
      </c>
      <c r="EV19" t="e">
        <f>AND(#REF!,"AAAAAH8g/5c=")</f>
        <v>#REF!</v>
      </c>
      <c r="EW19" t="e">
        <f>AND(#REF!,"AAAAAH8g/5g=")</f>
        <v>#REF!</v>
      </c>
      <c r="EX19" t="e">
        <f>AND(#REF!,"AAAAAH8g/5k=")</f>
        <v>#REF!</v>
      </c>
      <c r="EY19" t="e">
        <f>AND(#REF!,"AAAAAH8g/5o=")</f>
        <v>#REF!</v>
      </c>
      <c r="EZ19" t="e">
        <f>AND(#REF!,"AAAAAH8g/5s=")</f>
        <v>#REF!</v>
      </c>
      <c r="FA19" t="e">
        <f>AND(#REF!,"AAAAAH8g/5w=")</f>
        <v>#REF!</v>
      </c>
      <c r="FB19" t="e">
        <f>AND(#REF!,"AAAAAH8g/50=")</f>
        <v>#REF!</v>
      </c>
      <c r="FC19" t="e">
        <f>AND(#REF!,"AAAAAH8g/54=")</f>
        <v>#REF!</v>
      </c>
      <c r="FD19" t="e">
        <f>AND(#REF!,"AAAAAH8g/58=")</f>
        <v>#REF!</v>
      </c>
      <c r="FE19" t="e">
        <f>AND(#REF!,"AAAAAH8g/6A=")</f>
        <v>#REF!</v>
      </c>
      <c r="FF19" t="e">
        <f>AND(#REF!,"AAAAAH8g/6E=")</f>
        <v>#REF!</v>
      </c>
      <c r="FG19" t="e">
        <f>AND(#REF!,"AAAAAH8g/6I=")</f>
        <v>#REF!</v>
      </c>
      <c r="FH19" t="e">
        <f>AND(#REF!,"AAAAAH8g/6M=")</f>
        <v>#REF!</v>
      </c>
      <c r="FI19" t="e">
        <f>AND(#REF!,"AAAAAH8g/6Q=")</f>
        <v>#REF!</v>
      </c>
      <c r="FJ19" t="e">
        <f>AND(#REF!,"AAAAAH8g/6U=")</f>
        <v>#REF!</v>
      </c>
      <c r="FK19" t="e">
        <f>AND(#REF!,"AAAAAH8g/6Y=")</f>
        <v>#REF!</v>
      </c>
      <c r="FL19" t="e">
        <f>IF(#REF!,"AAAAAH8g/6c=",0)</f>
        <v>#REF!</v>
      </c>
      <c r="FM19" t="e">
        <f>AND(#REF!,"AAAAAH8g/6g=")</f>
        <v>#REF!</v>
      </c>
      <c r="FN19" t="e">
        <f>AND(#REF!,"AAAAAH8g/6k=")</f>
        <v>#REF!</v>
      </c>
      <c r="FO19" t="e">
        <f>AND(#REF!,"AAAAAH8g/6o=")</f>
        <v>#REF!</v>
      </c>
      <c r="FP19" t="e">
        <f>AND(#REF!,"AAAAAH8g/6s=")</f>
        <v>#REF!</v>
      </c>
      <c r="FQ19" t="e">
        <f>AND(#REF!,"AAAAAH8g/6w=")</f>
        <v>#REF!</v>
      </c>
      <c r="FR19" t="e">
        <f>AND(#REF!,"AAAAAH8g/60=")</f>
        <v>#REF!</v>
      </c>
      <c r="FS19" t="e">
        <f>AND(#REF!,"AAAAAH8g/64=")</f>
        <v>#REF!</v>
      </c>
      <c r="FT19" t="e">
        <f>AND(#REF!,"AAAAAH8g/68=")</f>
        <v>#REF!</v>
      </c>
      <c r="FU19" t="e">
        <f>AND(#REF!,"AAAAAH8g/7A=")</f>
        <v>#REF!</v>
      </c>
      <c r="FV19" t="e">
        <f>AND(#REF!,"AAAAAH8g/7E=")</f>
        <v>#REF!</v>
      </c>
      <c r="FW19" t="e">
        <f>AND(#REF!,"AAAAAH8g/7I=")</f>
        <v>#REF!</v>
      </c>
      <c r="FX19" t="e">
        <f>AND(#REF!,"AAAAAH8g/7M=")</f>
        <v>#REF!</v>
      </c>
      <c r="FY19" t="e">
        <f>AND(#REF!,"AAAAAH8g/7Q=")</f>
        <v>#REF!</v>
      </c>
      <c r="FZ19" t="e">
        <f>AND(#REF!,"AAAAAH8g/7U=")</f>
        <v>#REF!</v>
      </c>
      <c r="GA19" t="e">
        <f>AND(#REF!,"AAAAAH8g/7Y=")</f>
        <v>#REF!</v>
      </c>
      <c r="GB19" t="e">
        <f>AND(#REF!,"AAAAAH8g/7c=")</f>
        <v>#REF!</v>
      </c>
      <c r="GC19" t="e">
        <f>AND(#REF!,"AAAAAH8g/7g=")</f>
        <v>#REF!</v>
      </c>
      <c r="GD19" t="e">
        <f>AND(#REF!,"AAAAAH8g/7k=")</f>
        <v>#REF!</v>
      </c>
      <c r="GE19" t="e">
        <f>AND(#REF!,"AAAAAH8g/7o=")</f>
        <v>#REF!</v>
      </c>
      <c r="GF19" t="e">
        <f>AND(#REF!,"AAAAAH8g/7s=")</f>
        <v>#REF!</v>
      </c>
      <c r="GG19" t="e">
        <f>IF(#REF!,"AAAAAH8g/7w=",0)</f>
        <v>#REF!</v>
      </c>
      <c r="GH19" t="e">
        <f>AND(#REF!,"AAAAAH8g/70=")</f>
        <v>#REF!</v>
      </c>
      <c r="GI19" t="e">
        <f>AND(#REF!,"AAAAAH8g/74=")</f>
        <v>#REF!</v>
      </c>
      <c r="GJ19" t="e">
        <f>AND(#REF!,"AAAAAH8g/78=")</f>
        <v>#REF!</v>
      </c>
      <c r="GK19" t="e">
        <f>AND(#REF!,"AAAAAH8g/8A=")</f>
        <v>#REF!</v>
      </c>
      <c r="GL19" t="e">
        <f>AND(#REF!,"AAAAAH8g/8E=")</f>
        <v>#REF!</v>
      </c>
      <c r="GM19" t="e">
        <f>AND(#REF!,"AAAAAH8g/8I=")</f>
        <v>#REF!</v>
      </c>
      <c r="GN19" t="e">
        <f>AND(#REF!,"AAAAAH8g/8M=")</f>
        <v>#REF!</v>
      </c>
      <c r="GO19" t="e">
        <f>AND(#REF!,"AAAAAH8g/8Q=")</f>
        <v>#REF!</v>
      </c>
      <c r="GP19" t="e">
        <f>AND(#REF!,"AAAAAH8g/8U=")</f>
        <v>#REF!</v>
      </c>
      <c r="GQ19" t="e">
        <f>AND(#REF!,"AAAAAH8g/8Y=")</f>
        <v>#REF!</v>
      </c>
      <c r="GR19" t="e">
        <f>AND(#REF!,"AAAAAH8g/8c=")</f>
        <v>#REF!</v>
      </c>
      <c r="GS19" t="e">
        <f>AND(#REF!,"AAAAAH8g/8g=")</f>
        <v>#REF!</v>
      </c>
      <c r="GT19" t="e">
        <f>AND(#REF!,"AAAAAH8g/8k=")</f>
        <v>#REF!</v>
      </c>
      <c r="GU19" t="e">
        <f>AND(#REF!,"AAAAAH8g/8o=")</f>
        <v>#REF!</v>
      </c>
      <c r="GV19" t="e">
        <f>AND(#REF!,"AAAAAH8g/8s=")</f>
        <v>#REF!</v>
      </c>
      <c r="GW19" t="e">
        <f>AND(#REF!,"AAAAAH8g/8w=")</f>
        <v>#REF!</v>
      </c>
      <c r="GX19" t="e">
        <f>AND(#REF!,"AAAAAH8g/80=")</f>
        <v>#REF!</v>
      </c>
      <c r="GY19" t="e">
        <f>AND(#REF!,"AAAAAH8g/84=")</f>
        <v>#REF!</v>
      </c>
      <c r="GZ19" t="e">
        <f>AND(#REF!,"AAAAAH8g/88=")</f>
        <v>#REF!</v>
      </c>
      <c r="HA19" t="e">
        <f>AND(#REF!,"AAAAAH8g/9A=")</f>
        <v>#REF!</v>
      </c>
      <c r="HB19" t="e">
        <f>IF(#REF!,"AAAAAH8g/9E=",0)</f>
        <v>#REF!</v>
      </c>
      <c r="HC19" t="e">
        <f>AND(#REF!,"AAAAAH8g/9I=")</f>
        <v>#REF!</v>
      </c>
      <c r="HD19" t="e">
        <f>AND(#REF!,"AAAAAH8g/9M=")</f>
        <v>#REF!</v>
      </c>
      <c r="HE19" t="e">
        <f>AND(#REF!,"AAAAAH8g/9Q=")</f>
        <v>#REF!</v>
      </c>
      <c r="HF19" t="e">
        <f>AND(#REF!,"AAAAAH8g/9U=")</f>
        <v>#REF!</v>
      </c>
      <c r="HG19" t="e">
        <f>AND(#REF!,"AAAAAH8g/9Y=")</f>
        <v>#REF!</v>
      </c>
      <c r="HH19" t="e">
        <f>AND(#REF!,"AAAAAH8g/9c=")</f>
        <v>#REF!</v>
      </c>
      <c r="HI19" t="e">
        <f>AND(#REF!,"AAAAAH8g/9g=")</f>
        <v>#REF!</v>
      </c>
      <c r="HJ19" t="e">
        <f>AND(#REF!,"AAAAAH8g/9k=")</f>
        <v>#REF!</v>
      </c>
      <c r="HK19" t="e">
        <f>AND(#REF!,"AAAAAH8g/9o=")</f>
        <v>#REF!</v>
      </c>
      <c r="HL19" t="e">
        <f>AND(#REF!,"AAAAAH8g/9s=")</f>
        <v>#REF!</v>
      </c>
      <c r="HM19" t="e">
        <f>AND(#REF!,"AAAAAH8g/9w=")</f>
        <v>#REF!</v>
      </c>
      <c r="HN19" t="e">
        <f>AND(#REF!,"AAAAAH8g/90=")</f>
        <v>#REF!</v>
      </c>
      <c r="HO19" t="e">
        <f>AND(#REF!,"AAAAAH8g/94=")</f>
        <v>#REF!</v>
      </c>
      <c r="HP19" t="e">
        <f>AND(#REF!,"AAAAAH8g/98=")</f>
        <v>#REF!</v>
      </c>
      <c r="HQ19" t="e">
        <f>AND(#REF!,"AAAAAH8g/+A=")</f>
        <v>#REF!</v>
      </c>
      <c r="HR19" t="e">
        <f>AND(#REF!,"AAAAAH8g/+E=")</f>
        <v>#REF!</v>
      </c>
      <c r="HS19" t="e">
        <f>AND(#REF!,"AAAAAH8g/+I=")</f>
        <v>#REF!</v>
      </c>
      <c r="HT19" t="e">
        <f>AND(#REF!,"AAAAAH8g/+M=")</f>
        <v>#REF!</v>
      </c>
      <c r="HU19" t="e">
        <f>AND(#REF!,"AAAAAH8g/+Q=")</f>
        <v>#REF!</v>
      </c>
      <c r="HV19" t="e">
        <f>AND(#REF!,"AAAAAH8g/+U=")</f>
        <v>#REF!</v>
      </c>
      <c r="HW19" t="e">
        <f>IF(#REF!,"AAAAAH8g/+Y=",0)</f>
        <v>#REF!</v>
      </c>
      <c r="HX19" t="e">
        <f>AND(#REF!,"AAAAAH8g/+c=")</f>
        <v>#REF!</v>
      </c>
      <c r="HY19" t="e">
        <f>AND(#REF!,"AAAAAH8g/+g=")</f>
        <v>#REF!</v>
      </c>
      <c r="HZ19" t="e">
        <f>AND(#REF!,"AAAAAH8g/+k=")</f>
        <v>#REF!</v>
      </c>
      <c r="IA19" t="e">
        <f>AND(#REF!,"AAAAAH8g/+o=")</f>
        <v>#REF!</v>
      </c>
      <c r="IB19" t="e">
        <f>AND(#REF!,"AAAAAH8g/+s=")</f>
        <v>#REF!</v>
      </c>
      <c r="IC19" t="e">
        <f>AND(#REF!,"AAAAAH8g/+w=")</f>
        <v>#REF!</v>
      </c>
      <c r="ID19" t="e">
        <f>AND(#REF!,"AAAAAH8g/+0=")</f>
        <v>#REF!</v>
      </c>
      <c r="IE19" t="e">
        <f>AND(#REF!,"AAAAAH8g/+4=")</f>
        <v>#REF!</v>
      </c>
      <c r="IF19" t="e">
        <f>AND(#REF!,"AAAAAH8g/+8=")</f>
        <v>#REF!</v>
      </c>
      <c r="IG19" t="e">
        <f>AND(#REF!,"AAAAAH8g//A=")</f>
        <v>#REF!</v>
      </c>
      <c r="IH19" t="e">
        <f>AND(#REF!,"AAAAAH8g//E=")</f>
        <v>#REF!</v>
      </c>
      <c r="II19" t="e">
        <f>AND(#REF!,"AAAAAH8g//I=")</f>
        <v>#REF!</v>
      </c>
      <c r="IJ19" t="e">
        <f>AND(#REF!,"AAAAAH8g//M=")</f>
        <v>#REF!</v>
      </c>
      <c r="IK19" t="e">
        <f>AND(#REF!,"AAAAAH8g//Q=")</f>
        <v>#REF!</v>
      </c>
      <c r="IL19" t="e">
        <f>AND(#REF!,"AAAAAH8g//U=")</f>
        <v>#REF!</v>
      </c>
      <c r="IM19" t="e">
        <f>AND(#REF!,"AAAAAH8g//Y=")</f>
        <v>#REF!</v>
      </c>
      <c r="IN19" t="e">
        <f>AND(#REF!,"AAAAAH8g//c=")</f>
        <v>#REF!</v>
      </c>
      <c r="IO19" t="e">
        <f>AND(#REF!,"AAAAAH8g//g=")</f>
        <v>#REF!</v>
      </c>
      <c r="IP19" t="e">
        <f>AND(#REF!,"AAAAAH8g//k=")</f>
        <v>#REF!</v>
      </c>
      <c r="IQ19" t="e">
        <f>AND(#REF!,"AAAAAH8g//o=")</f>
        <v>#REF!</v>
      </c>
      <c r="IR19" t="e">
        <f>IF(#REF!,"AAAAAH8g//s=",0)</f>
        <v>#REF!</v>
      </c>
      <c r="IS19" t="e">
        <f>AND(#REF!,"AAAAAH8g//w=")</f>
        <v>#REF!</v>
      </c>
      <c r="IT19" t="e">
        <f>AND(#REF!,"AAAAAH8g//0=")</f>
        <v>#REF!</v>
      </c>
      <c r="IU19" t="e">
        <f>AND(#REF!,"AAAAAH8g//4=")</f>
        <v>#REF!</v>
      </c>
      <c r="IV19" t="e">
        <f>AND(#REF!,"AAAAAH8g//8=")</f>
        <v>#REF!</v>
      </c>
    </row>
    <row r="20" spans="1:256">
      <c r="A20" t="e">
        <f>AND(#REF!,"AAAAAH97/gA=")</f>
        <v>#REF!</v>
      </c>
      <c r="B20" t="e">
        <f>AND(#REF!,"AAAAAH97/gE=")</f>
        <v>#REF!</v>
      </c>
      <c r="C20" t="e">
        <f>AND(#REF!,"AAAAAH97/gI=")</f>
        <v>#REF!</v>
      </c>
      <c r="D20" t="e">
        <f>AND(#REF!,"AAAAAH97/gM=")</f>
        <v>#REF!</v>
      </c>
      <c r="E20" t="e">
        <f>AND(#REF!,"AAAAAH97/gQ=")</f>
        <v>#REF!</v>
      </c>
      <c r="F20" t="e">
        <f>AND(#REF!,"AAAAAH97/gU=")</f>
        <v>#REF!</v>
      </c>
      <c r="G20" t="e">
        <f>AND(#REF!,"AAAAAH97/gY=")</f>
        <v>#REF!</v>
      </c>
      <c r="H20" t="e">
        <f>AND(#REF!,"AAAAAH97/gc=")</f>
        <v>#REF!</v>
      </c>
      <c r="I20" t="e">
        <f>AND(#REF!,"AAAAAH97/gg=")</f>
        <v>#REF!</v>
      </c>
      <c r="J20" t="e">
        <f>AND(#REF!,"AAAAAH97/gk=")</f>
        <v>#REF!</v>
      </c>
      <c r="K20" t="e">
        <f>AND(#REF!,"AAAAAH97/go=")</f>
        <v>#REF!</v>
      </c>
      <c r="L20" t="e">
        <f>AND(#REF!,"AAAAAH97/gs=")</f>
        <v>#REF!</v>
      </c>
      <c r="M20" t="e">
        <f>AND(#REF!,"AAAAAH97/gw=")</f>
        <v>#REF!</v>
      </c>
      <c r="N20" t="e">
        <f>AND(#REF!,"AAAAAH97/g0=")</f>
        <v>#REF!</v>
      </c>
      <c r="O20" t="e">
        <f>AND(#REF!,"AAAAAH97/g4=")</f>
        <v>#REF!</v>
      </c>
      <c r="P20" t="e">
        <f>AND(#REF!,"AAAAAH97/g8=")</f>
        <v>#REF!</v>
      </c>
      <c r="Q20" t="e">
        <f>IF(#REF!,"AAAAAH97/hA=",0)</f>
        <v>#REF!</v>
      </c>
      <c r="R20" t="e">
        <f>AND(#REF!,"AAAAAH97/hE=")</f>
        <v>#REF!</v>
      </c>
      <c r="S20" t="e">
        <f>AND(#REF!,"AAAAAH97/hI=")</f>
        <v>#REF!</v>
      </c>
      <c r="T20" t="e">
        <f>AND(#REF!,"AAAAAH97/hM=")</f>
        <v>#REF!</v>
      </c>
      <c r="U20" t="e">
        <f>AND(#REF!,"AAAAAH97/hQ=")</f>
        <v>#REF!</v>
      </c>
      <c r="V20" t="e">
        <f>AND(#REF!,"AAAAAH97/hU=")</f>
        <v>#REF!</v>
      </c>
      <c r="W20" t="e">
        <f>AND(#REF!,"AAAAAH97/hY=")</f>
        <v>#REF!</v>
      </c>
      <c r="X20" t="e">
        <f>AND(#REF!,"AAAAAH97/hc=")</f>
        <v>#REF!</v>
      </c>
      <c r="Y20" t="e">
        <f>AND(#REF!,"AAAAAH97/hg=")</f>
        <v>#REF!</v>
      </c>
      <c r="Z20" t="e">
        <f>AND(#REF!,"AAAAAH97/hk=")</f>
        <v>#REF!</v>
      </c>
      <c r="AA20" t="e">
        <f>AND(#REF!,"AAAAAH97/ho=")</f>
        <v>#REF!</v>
      </c>
      <c r="AB20" t="e">
        <f>AND(#REF!,"AAAAAH97/hs=")</f>
        <v>#REF!</v>
      </c>
      <c r="AC20" t="e">
        <f>AND(#REF!,"AAAAAH97/hw=")</f>
        <v>#REF!</v>
      </c>
      <c r="AD20" t="e">
        <f>AND(#REF!,"AAAAAH97/h0=")</f>
        <v>#REF!</v>
      </c>
      <c r="AE20" t="e">
        <f>AND(#REF!,"AAAAAH97/h4=")</f>
        <v>#REF!</v>
      </c>
      <c r="AF20" t="e">
        <f>AND(#REF!,"AAAAAH97/h8=")</f>
        <v>#REF!</v>
      </c>
      <c r="AG20" t="e">
        <f>AND(#REF!,"AAAAAH97/iA=")</f>
        <v>#REF!</v>
      </c>
      <c r="AH20" t="e">
        <f>AND(#REF!,"AAAAAH97/iE=")</f>
        <v>#REF!</v>
      </c>
      <c r="AI20" t="e">
        <f>AND(#REF!,"AAAAAH97/iI=")</f>
        <v>#REF!</v>
      </c>
      <c r="AJ20" t="e">
        <f>AND(#REF!,"AAAAAH97/iM=")</f>
        <v>#REF!</v>
      </c>
      <c r="AK20" t="e">
        <f>AND(#REF!,"AAAAAH97/iQ=")</f>
        <v>#REF!</v>
      </c>
      <c r="AL20" t="e">
        <f>IF(#REF!,"AAAAAH97/iU=",0)</f>
        <v>#REF!</v>
      </c>
      <c r="AM20" t="e">
        <f>AND(#REF!,"AAAAAH97/iY=")</f>
        <v>#REF!</v>
      </c>
      <c r="AN20" t="e">
        <f>AND(#REF!,"AAAAAH97/ic=")</f>
        <v>#REF!</v>
      </c>
      <c r="AO20" t="e">
        <f>AND(#REF!,"AAAAAH97/ig=")</f>
        <v>#REF!</v>
      </c>
      <c r="AP20" t="e">
        <f>AND(#REF!,"AAAAAH97/ik=")</f>
        <v>#REF!</v>
      </c>
      <c r="AQ20" t="e">
        <f>AND(#REF!,"AAAAAH97/io=")</f>
        <v>#REF!</v>
      </c>
      <c r="AR20" t="e">
        <f>AND(#REF!,"AAAAAH97/is=")</f>
        <v>#REF!</v>
      </c>
      <c r="AS20" t="e">
        <f>AND(#REF!,"AAAAAH97/iw=")</f>
        <v>#REF!</v>
      </c>
      <c r="AT20" t="e">
        <f>AND(#REF!,"AAAAAH97/i0=")</f>
        <v>#REF!</v>
      </c>
      <c r="AU20" t="e">
        <f>AND(#REF!,"AAAAAH97/i4=")</f>
        <v>#REF!</v>
      </c>
      <c r="AV20" t="e">
        <f>AND(#REF!,"AAAAAH97/i8=")</f>
        <v>#REF!</v>
      </c>
      <c r="AW20" t="e">
        <f>AND(#REF!,"AAAAAH97/jA=")</f>
        <v>#REF!</v>
      </c>
      <c r="AX20" t="e">
        <f>AND(#REF!,"AAAAAH97/jE=")</f>
        <v>#REF!</v>
      </c>
      <c r="AY20" t="e">
        <f>AND(#REF!,"AAAAAH97/jI=")</f>
        <v>#REF!</v>
      </c>
      <c r="AZ20" t="e">
        <f>AND(#REF!,"AAAAAH97/jM=")</f>
        <v>#REF!</v>
      </c>
      <c r="BA20" t="e">
        <f>AND(#REF!,"AAAAAH97/jQ=")</f>
        <v>#REF!</v>
      </c>
      <c r="BB20" t="e">
        <f>AND(#REF!,"AAAAAH97/jU=")</f>
        <v>#REF!</v>
      </c>
      <c r="BC20" t="e">
        <f>AND(#REF!,"AAAAAH97/jY=")</f>
        <v>#REF!</v>
      </c>
      <c r="BD20" t="e">
        <f>AND(#REF!,"AAAAAH97/jc=")</f>
        <v>#REF!</v>
      </c>
      <c r="BE20" t="e">
        <f>AND(#REF!,"AAAAAH97/jg=")</f>
        <v>#REF!</v>
      </c>
      <c r="BF20" t="e">
        <f>AND(#REF!,"AAAAAH97/jk=")</f>
        <v>#REF!</v>
      </c>
      <c r="BG20" t="e">
        <f>IF(#REF!,"AAAAAH97/jo=",0)</f>
        <v>#REF!</v>
      </c>
      <c r="BH20" t="e">
        <f>AND(#REF!,"AAAAAH97/js=")</f>
        <v>#REF!</v>
      </c>
      <c r="BI20" t="e">
        <f>AND(#REF!,"AAAAAH97/jw=")</f>
        <v>#REF!</v>
      </c>
      <c r="BJ20" t="e">
        <f>AND(#REF!,"AAAAAH97/j0=")</f>
        <v>#REF!</v>
      </c>
      <c r="BK20" t="e">
        <f>AND(#REF!,"AAAAAH97/j4=")</f>
        <v>#REF!</v>
      </c>
      <c r="BL20" t="e">
        <f>AND(#REF!,"AAAAAH97/j8=")</f>
        <v>#REF!</v>
      </c>
      <c r="BM20" t="e">
        <f>AND(#REF!,"AAAAAH97/kA=")</f>
        <v>#REF!</v>
      </c>
      <c r="BN20" t="e">
        <f>AND(#REF!,"AAAAAH97/kE=")</f>
        <v>#REF!</v>
      </c>
      <c r="BO20" t="e">
        <f>AND(#REF!,"AAAAAH97/kI=")</f>
        <v>#REF!</v>
      </c>
      <c r="BP20" t="e">
        <f>AND(#REF!,"AAAAAH97/kM=")</f>
        <v>#REF!</v>
      </c>
      <c r="BQ20" t="e">
        <f>AND(#REF!,"AAAAAH97/kQ=")</f>
        <v>#REF!</v>
      </c>
      <c r="BR20" t="e">
        <f>AND(#REF!,"AAAAAH97/kU=")</f>
        <v>#REF!</v>
      </c>
      <c r="BS20" t="e">
        <f>AND(#REF!,"AAAAAH97/kY=")</f>
        <v>#REF!</v>
      </c>
      <c r="BT20" t="e">
        <f>AND(#REF!,"AAAAAH97/kc=")</f>
        <v>#REF!</v>
      </c>
      <c r="BU20" t="e">
        <f>AND(#REF!,"AAAAAH97/kg=")</f>
        <v>#REF!</v>
      </c>
      <c r="BV20" t="e">
        <f>AND(#REF!,"AAAAAH97/kk=")</f>
        <v>#REF!</v>
      </c>
      <c r="BW20" t="e">
        <f>AND(#REF!,"AAAAAH97/ko=")</f>
        <v>#REF!</v>
      </c>
      <c r="BX20" t="e">
        <f>AND(#REF!,"AAAAAH97/ks=")</f>
        <v>#REF!</v>
      </c>
      <c r="BY20" t="e">
        <f>AND(#REF!,"AAAAAH97/kw=")</f>
        <v>#REF!</v>
      </c>
      <c r="BZ20" t="e">
        <f>AND(#REF!,"AAAAAH97/k0=")</f>
        <v>#REF!</v>
      </c>
      <c r="CA20" t="e">
        <f>AND(#REF!,"AAAAAH97/k4=")</f>
        <v>#REF!</v>
      </c>
      <c r="CB20" t="e">
        <f>IF(#REF!,"AAAAAH97/k8=",0)</f>
        <v>#REF!</v>
      </c>
      <c r="CC20" t="e">
        <f>AND(#REF!,"AAAAAH97/lA=")</f>
        <v>#REF!</v>
      </c>
      <c r="CD20" t="e">
        <f>AND(#REF!,"AAAAAH97/lE=")</f>
        <v>#REF!</v>
      </c>
      <c r="CE20" t="e">
        <f>AND(#REF!,"AAAAAH97/lI=")</f>
        <v>#REF!</v>
      </c>
      <c r="CF20" t="e">
        <f>AND(#REF!,"AAAAAH97/lM=")</f>
        <v>#REF!</v>
      </c>
      <c r="CG20" t="e">
        <f>AND(#REF!,"AAAAAH97/lQ=")</f>
        <v>#REF!</v>
      </c>
      <c r="CH20" t="e">
        <f>AND(#REF!,"AAAAAH97/lU=")</f>
        <v>#REF!</v>
      </c>
      <c r="CI20" t="e">
        <f>AND(#REF!,"AAAAAH97/lY=")</f>
        <v>#REF!</v>
      </c>
      <c r="CJ20" t="e">
        <f>AND(#REF!,"AAAAAH97/lc=")</f>
        <v>#REF!</v>
      </c>
      <c r="CK20" t="e">
        <f>AND(#REF!,"AAAAAH97/lg=")</f>
        <v>#REF!</v>
      </c>
      <c r="CL20" t="e">
        <f>AND(#REF!,"AAAAAH97/lk=")</f>
        <v>#REF!</v>
      </c>
      <c r="CM20" t="e">
        <f>AND(#REF!,"AAAAAH97/lo=")</f>
        <v>#REF!</v>
      </c>
      <c r="CN20" t="e">
        <f>AND(#REF!,"AAAAAH97/ls=")</f>
        <v>#REF!</v>
      </c>
      <c r="CO20" t="e">
        <f>AND(#REF!,"AAAAAH97/lw=")</f>
        <v>#REF!</v>
      </c>
      <c r="CP20" t="e">
        <f>AND(#REF!,"AAAAAH97/l0=")</f>
        <v>#REF!</v>
      </c>
      <c r="CQ20" t="e">
        <f>AND(#REF!,"AAAAAH97/l4=")</f>
        <v>#REF!</v>
      </c>
      <c r="CR20" t="e">
        <f>AND(#REF!,"AAAAAH97/l8=")</f>
        <v>#REF!</v>
      </c>
      <c r="CS20" t="e">
        <f>AND(#REF!,"AAAAAH97/mA=")</f>
        <v>#REF!</v>
      </c>
      <c r="CT20" t="e">
        <f>AND(#REF!,"AAAAAH97/mE=")</f>
        <v>#REF!</v>
      </c>
      <c r="CU20" t="e">
        <f>AND(#REF!,"AAAAAH97/mI=")</f>
        <v>#REF!</v>
      </c>
      <c r="CV20" t="e">
        <f>AND(#REF!,"AAAAAH97/mM=")</f>
        <v>#REF!</v>
      </c>
      <c r="CW20" t="e">
        <f>IF(#REF!,"AAAAAH97/mQ=",0)</f>
        <v>#REF!</v>
      </c>
      <c r="CX20" t="e">
        <f>AND(#REF!,"AAAAAH97/mU=")</f>
        <v>#REF!</v>
      </c>
      <c r="CY20" t="e">
        <f>AND(#REF!,"AAAAAH97/mY=")</f>
        <v>#REF!</v>
      </c>
      <c r="CZ20" t="e">
        <f>AND(#REF!,"AAAAAH97/mc=")</f>
        <v>#REF!</v>
      </c>
      <c r="DA20" t="e">
        <f>AND(#REF!,"AAAAAH97/mg=")</f>
        <v>#REF!</v>
      </c>
      <c r="DB20" t="e">
        <f>AND(#REF!,"AAAAAH97/mk=")</f>
        <v>#REF!</v>
      </c>
      <c r="DC20" t="e">
        <f>AND(#REF!,"AAAAAH97/mo=")</f>
        <v>#REF!</v>
      </c>
      <c r="DD20" t="e">
        <f>AND(#REF!,"AAAAAH97/ms=")</f>
        <v>#REF!</v>
      </c>
      <c r="DE20" t="e">
        <f>AND(#REF!,"AAAAAH97/mw=")</f>
        <v>#REF!</v>
      </c>
      <c r="DF20" t="e">
        <f>AND(#REF!,"AAAAAH97/m0=")</f>
        <v>#REF!</v>
      </c>
      <c r="DG20" t="e">
        <f>AND(#REF!,"AAAAAH97/m4=")</f>
        <v>#REF!</v>
      </c>
      <c r="DH20" t="e">
        <f>AND(#REF!,"AAAAAH97/m8=")</f>
        <v>#REF!</v>
      </c>
      <c r="DI20" t="e">
        <f>AND(#REF!,"AAAAAH97/nA=")</f>
        <v>#REF!</v>
      </c>
      <c r="DJ20" t="e">
        <f>AND(#REF!,"AAAAAH97/nE=")</f>
        <v>#REF!</v>
      </c>
      <c r="DK20" t="e">
        <f>AND(#REF!,"AAAAAH97/nI=")</f>
        <v>#REF!</v>
      </c>
      <c r="DL20" t="e">
        <f>AND(#REF!,"AAAAAH97/nM=")</f>
        <v>#REF!</v>
      </c>
      <c r="DM20" t="e">
        <f>AND(#REF!,"AAAAAH97/nQ=")</f>
        <v>#REF!</v>
      </c>
      <c r="DN20" t="e">
        <f>AND(#REF!,"AAAAAH97/nU=")</f>
        <v>#REF!</v>
      </c>
      <c r="DO20" t="e">
        <f>AND(#REF!,"AAAAAH97/nY=")</f>
        <v>#REF!</v>
      </c>
      <c r="DP20" t="e">
        <f>AND(#REF!,"AAAAAH97/nc=")</f>
        <v>#REF!</v>
      </c>
      <c r="DQ20" t="e">
        <f>AND(#REF!,"AAAAAH97/ng=")</f>
        <v>#REF!</v>
      </c>
      <c r="DR20" t="e">
        <f>IF(#REF!,"AAAAAH97/nk=",0)</f>
        <v>#REF!</v>
      </c>
      <c r="DS20" t="e">
        <f>AND(#REF!,"AAAAAH97/no=")</f>
        <v>#REF!</v>
      </c>
      <c r="DT20" t="e">
        <f>AND(#REF!,"AAAAAH97/ns=")</f>
        <v>#REF!</v>
      </c>
      <c r="DU20" t="e">
        <f>AND(#REF!,"AAAAAH97/nw=")</f>
        <v>#REF!</v>
      </c>
      <c r="DV20" t="e">
        <f>AND(#REF!,"AAAAAH97/n0=")</f>
        <v>#REF!</v>
      </c>
      <c r="DW20" t="e">
        <f>AND(#REF!,"AAAAAH97/n4=")</f>
        <v>#REF!</v>
      </c>
      <c r="DX20" t="e">
        <f>AND(#REF!,"AAAAAH97/n8=")</f>
        <v>#REF!</v>
      </c>
      <c r="DY20" t="e">
        <f>AND(#REF!,"AAAAAH97/oA=")</f>
        <v>#REF!</v>
      </c>
      <c r="DZ20" t="e">
        <f>AND(#REF!,"AAAAAH97/oE=")</f>
        <v>#REF!</v>
      </c>
      <c r="EA20" t="e">
        <f>AND(#REF!,"AAAAAH97/oI=")</f>
        <v>#REF!</v>
      </c>
      <c r="EB20" t="e">
        <f>AND(#REF!,"AAAAAH97/oM=")</f>
        <v>#REF!</v>
      </c>
      <c r="EC20" t="e">
        <f>AND(#REF!,"AAAAAH97/oQ=")</f>
        <v>#REF!</v>
      </c>
      <c r="ED20" t="e">
        <f>AND(#REF!,"AAAAAH97/oU=")</f>
        <v>#REF!</v>
      </c>
      <c r="EE20" t="e">
        <f>AND(#REF!,"AAAAAH97/oY=")</f>
        <v>#REF!</v>
      </c>
      <c r="EF20" t="e">
        <f>AND(#REF!,"AAAAAH97/oc=")</f>
        <v>#REF!</v>
      </c>
      <c r="EG20" t="e">
        <f>AND(#REF!,"AAAAAH97/og=")</f>
        <v>#REF!</v>
      </c>
      <c r="EH20" t="e">
        <f>AND(#REF!,"AAAAAH97/ok=")</f>
        <v>#REF!</v>
      </c>
      <c r="EI20" t="e">
        <f>AND(#REF!,"AAAAAH97/oo=")</f>
        <v>#REF!</v>
      </c>
      <c r="EJ20" t="e">
        <f>AND(#REF!,"AAAAAH97/os=")</f>
        <v>#REF!</v>
      </c>
      <c r="EK20" t="e">
        <f>AND(#REF!,"AAAAAH97/ow=")</f>
        <v>#REF!</v>
      </c>
      <c r="EL20" t="e">
        <f>AND(#REF!,"AAAAAH97/o0=")</f>
        <v>#REF!</v>
      </c>
      <c r="EM20" t="e">
        <f>IF(#REF!,"AAAAAH97/o4=",0)</f>
        <v>#REF!</v>
      </c>
      <c r="EN20" t="e">
        <f>AND(#REF!,"AAAAAH97/o8=")</f>
        <v>#REF!</v>
      </c>
      <c r="EO20" t="e">
        <f>AND(#REF!,"AAAAAH97/pA=")</f>
        <v>#REF!</v>
      </c>
      <c r="EP20" t="e">
        <f>AND(#REF!,"AAAAAH97/pE=")</f>
        <v>#REF!</v>
      </c>
      <c r="EQ20" t="e">
        <f>AND(#REF!,"AAAAAH97/pI=")</f>
        <v>#REF!</v>
      </c>
      <c r="ER20" t="e">
        <f>AND(#REF!,"AAAAAH97/pM=")</f>
        <v>#REF!</v>
      </c>
      <c r="ES20" t="e">
        <f>AND(#REF!,"AAAAAH97/pQ=")</f>
        <v>#REF!</v>
      </c>
      <c r="ET20" t="e">
        <f>AND(#REF!,"AAAAAH97/pU=")</f>
        <v>#REF!</v>
      </c>
      <c r="EU20" t="e">
        <f>AND(#REF!,"AAAAAH97/pY=")</f>
        <v>#REF!</v>
      </c>
      <c r="EV20" t="e">
        <f>AND(#REF!,"AAAAAH97/pc=")</f>
        <v>#REF!</v>
      </c>
      <c r="EW20" t="e">
        <f>AND(#REF!,"AAAAAH97/pg=")</f>
        <v>#REF!</v>
      </c>
      <c r="EX20" t="e">
        <f>AND(#REF!,"AAAAAH97/pk=")</f>
        <v>#REF!</v>
      </c>
      <c r="EY20" t="e">
        <f>AND(#REF!,"AAAAAH97/po=")</f>
        <v>#REF!</v>
      </c>
      <c r="EZ20" t="e">
        <f>AND(#REF!,"AAAAAH97/ps=")</f>
        <v>#REF!</v>
      </c>
      <c r="FA20" t="e">
        <f>AND(#REF!,"AAAAAH97/pw=")</f>
        <v>#REF!</v>
      </c>
      <c r="FB20" t="e">
        <f>AND(#REF!,"AAAAAH97/p0=")</f>
        <v>#REF!</v>
      </c>
      <c r="FC20" t="e">
        <f>AND(#REF!,"AAAAAH97/p4=")</f>
        <v>#REF!</v>
      </c>
      <c r="FD20" t="e">
        <f>AND(#REF!,"AAAAAH97/p8=")</f>
        <v>#REF!</v>
      </c>
      <c r="FE20" t="e">
        <f>AND(#REF!,"AAAAAH97/qA=")</f>
        <v>#REF!</v>
      </c>
      <c r="FF20" t="e">
        <f>AND(#REF!,"AAAAAH97/qE=")</f>
        <v>#REF!</v>
      </c>
      <c r="FG20" t="e">
        <f>AND(#REF!,"AAAAAH97/qI=")</f>
        <v>#REF!</v>
      </c>
      <c r="FH20" t="e">
        <f>IF(#REF!,"AAAAAH97/qM=",0)</f>
        <v>#REF!</v>
      </c>
      <c r="FI20" t="e">
        <f>AND(#REF!,"AAAAAH97/qQ=")</f>
        <v>#REF!</v>
      </c>
      <c r="FJ20" t="e">
        <f>AND(#REF!,"AAAAAH97/qU=")</f>
        <v>#REF!</v>
      </c>
      <c r="FK20" t="e">
        <f>AND(#REF!,"AAAAAH97/qY=")</f>
        <v>#REF!</v>
      </c>
      <c r="FL20" t="e">
        <f>AND(#REF!,"AAAAAH97/qc=")</f>
        <v>#REF!</v>
      </c>
      <c r="FM20" t="e">
        <f>AND(#REF!,"AAAAAH97/qg=")</f>
        <v>#REF!</v>
      </c>
      <c r="FN20" t="e">
        <f>AND(#REF!,"AAAAAH97/qk=")</f>
        <v>#REF!</v>
      </c>
      <c r="FO20" t="e">
        <f>AND(#REF!,"AAAAAH97/qo=")</f>
        <v>#REF!</v>
      </c>
      <c r="FP20" t="e">
        <f>AND(#REF!,"AAAAAH97/qs=")</f>
        <v>#REF!</v>
      </c>
      <c r="FQ20" t="e">
        <f>AND(#REF!,"AAAAAH97/qw=")</f>
        <v>#REF!</v>
      </c>
      <c r="FR20" t="e">
        <f>AND(#REF!,"AAAAAH97/q0=")</f>
        <v>#REF!</v>
      </c>
      <c r="FS20" t="e">
        <f>AND(#REF!,"AAAAAH97/q4=")</f>
        <v>#REF!</v>
      </c>
      <c r="FT20" t="e">
        <f>AND(#REF!,"AAAAAH97/q8=")</f>
        <v>#REF!</v>
      </c>
      <c r="FU20" t="e">
        <f>AND(#REF!,"AAAAAH97/rA=")</f>
        <v>#REF!</v>
      </c>
      <c r="FV20" t="e">
        <f>AND(#REF!,"AAAAAH97/rE=")</f>
        <v>#REF!</v>
      </c>
      <c r="FW20" t="e">
        <f>AND(#REF!,"AAAAAH97/rI=")</f>
        <v>#REF!</v>
      </c>
      <c r="FX20" t="e">
        <f>AND(#REF!,"AAAAAH97/rM=")</f>
        <v>#REF!</v>
      </c>
      <c r="FY20" t="e">
        <f>AND(#REF!,"AAAAAH97/rQ=")</f>
        <v>#REF!</v>
      </c>
      <c r="FZ20" t="e">
        <f>AND(#REF!,"AAAAAH97/rU=")</f>
        <v>#REF!</v>
      </c>
      <c r="GA20" t="e">
        <f>AND(#REF!,"AAAAAH97/rY=")</f>
        <v>#REF!</v>
      </c>
      <c r="GB20" t="e">
        <f>AND(#REF!,"AAAAAH97/rc=")</f>
        <v>#REF!</v>
      </c>
      <c r="GC20" t="e">
        <f>IF(#REF!,"AAAAAH97/rg=",0)</f>
        <v>#REF!</v>
      </c>
      <c r="GD20" t="e">
        <f>AND(#REF!,"AAAAAH97/rk=")</f>
        <v>#REF!</v>
      </c>
      <c r="GE20" t="e">
        <f>AND(#REF!,"AAAAAH97/ro=")</f>
        <v>#REF!</v>
      </c>
      <c r="GF20" t="e">
        <f>AND(#REF!,"AAAAAH97/rs=")</f>
        <v>#REF!</v>
      </c>
      <c r="GG20" t="e">
        <f>AND(#REF!,"AAAAAH97/rw=")</f>
        <v>#REF!</v>
      </c>
      <c r="GH20" t="e">
        <f>AND(#REF!,"AAAAAH97/r0=")</f>
        <v>#REF!</v>
      </c>
      <c r="GI20" t="e">
        <f>AND(#REF!,"AAAAAH97/r4=")</f>
        <v>#REF!</v>
      </c>
      <c r="GJ20" t="e">
        <f>AND(#REF!,"AAAAAH97/r8=")</f>
        <v>#REF!</v>
      </c>
      <c r="GK20" t="e">
        <f>AND(#REF!,"AAAAAH97/sA=")</f>
        <v>#REF!</v>
      </c>
      <c r="GL20" t="e">
        <f>AND(#REF!,"AAAAAH97/sE=")</f>
        <v>#REF!</v>
      </c>
      <c r="GM20" t="e">
        <f>AND(#REF!,"AAAAAH97/sI=")</f>
        <v>#REF!</v>
      </c>
      <c r="GN20" t="e">
        <f>AND(#REF!,"AAAAAH97/sM=")</f>
        <v>#REF!</v>
      </c>
      <c r="GO20" t="e">
        <f>AND(#REF!,"AAAAAH97/sQ=")</f>
        <v>#REF!</v>
      </c>
      <c r="GP20" t="e">
        <f>AND(#REF!,"AAAAAH97/sU=")</f>
        <v>#REF!</v>
      </c>
      <c r="GQ20" t="e">
        <f>AND(#REF!,"AAAAAH97/sY=")</f>
        <v>#REF!</v>
      </c>
      <c r="GR20" t="e">
        <f>AND(#REF!,"AAAAAH97/sc=")</f>
        <v>#REF!</v>
      </c>
      <c r="GS20" t="e">
        <f>AND(#REF!,"AAAAAH97/sg=")</f>
        <v>#REF!</v>
      </c>
      <c r="GT20" t="e">
        <f>AND(#REF!,"AAAAAH97/sk=")</f>
        <v>#REF!</v>
      </c>
      <c r="GU20" t="e">
        <f>AND(#REF!,"AAAAAH97/so=")</f>
        <v>#REF!</v>
      </c>
      <c r="GV20" t="e">
        <f>AND(#REF!,"AAAAAH97/ss=")</f>
        <v>#REF!</v>
      </c>
      <c r="GW20" t="e">
        <f>AND(#REF!,"AAAAAH97/sw=")</f>
        <v>#REF!</v>
      </c>
      <c r="GX20" t="e">
        <f>IF(#REF!,"AAAAAH97/s0=",0)</f>
        <v>#REF!</v>
      </c>
      <c r="GY20" t="e">
        <f>AND(#REF!,"AAAAAH97/s4=")</f>
        <v>#REF!</v>
      </c>
      <c r="GZ20" t="e">
        <f>AND(#REF!,"AAAAAH97/s8=")</f>
        <v>#REF!</v>
      </c>
      <c r="HA20" t="e">
        <f>AND(#REF!,"AAAAAH97/tA=")</f>
        <v>#REF!</v>
      </c>
      <c r="HB20" t="e">
        <f>AND(#REF!,"AAAAAH97/tE=")</f>
        <v>#REF!</v>
      </c>
      <c r="HC20" t="e">
        <f>AND(#REF!,"AAAAAH97/tI=")</f>
        <v>#REF!</v>
      </c>
      <c r="HD20" t="e">
        <f>AND(#REF!,"AAAAAH97/tM=")</f>
        <v>#REF!</v>
      </c>
      <c r="HE20" t="e">
        <f>AND(#REF!,"AAAAAH97/tQ=")</f>
        <v>#REF!</v>
      </c>
      <c r="HF20" t="e">
        <f>AND(#REF!,"AAAAAH97/tU=")</f>
        <v>#REF!</v>
      </c>
      <c r="HG20" t="e">
        <f>AND(#REF!,"AAAAAH97/tY=")</f>
        <v>#REF!</v>
      </c>
      <c r="HH20" t="e">
        <f>AND(#REF!,"AAAAAH97/tc=")</f>
        <v>#REF!</v>
      </c>
      <c r="HI20" t="e">
        <f>AND(#REF!,"AAAAAH97/tg=")</f>
        <v>#REF!</v>
      </c>
      <c r="HJ20" t="e">
        <f>AND(#REF!,"AAAAAH97/tk=")</f>
        <v>#REF!</v>
      </c>
      <c r="HK20" t="e">
        <f>AND(#REF!,"AAAAAH97/to=")</f>
        <v>#REF!</v>
      </c>
      <c r="HL20" t="e">
        <f>AND(#REF!,"AAAAAH97/ts=")</f>
        <v>#REF!</v>
      </c>
      <c r="HM20" t="e">
        <f>AND(#REF!,"AAAAAH97/tw=")</f>
        <v>#REF!</v>
      </c>
      <c r="HN20" t="e">
        <f>AND(#REF!,"AAAAAH97/t0=")</f>
        <v>#REF!</v>
      </c>
      <c r="HO20" t="e">
        <f>AND(#REF!,"AAAAAH97/t4=")</f>
        <v>#REF!</v>
      </c>
      <c r="HP20" t="e">
        <f>AND(#REF!,"AAAAAH97/t8=")</f>
        <v>#REF!</v>
      </c>
      <c r="HQ20" t="e">
        <f>AND(#REF!,"AAAAAH97/uA=")</f>
        <v>#REF!</v>
      </c>
      <c r="HR20" t="e">
        <f>AND(#REF!,"AAAAAH97/uE=")</f>
        <v>#REF!</v>
      </c>
      <c r="HS20" t="e">
        <f>IF(#REF!,"AAAAAH97/uI=",0)</f>
        <v>#REF!</v>
      </c>
      <c r="HT20" t="e">
        <f>AND(#REF!,"AAAAAH97/uM=")</f>
        <v>#REF!</v>
      </c>
      <c r="HU20" t="e">
        <f>AND(#REF!,"AAAAAH97/uQ=")</f>
        <v>#REF!</v>
      </c>
      <c r="HV20" t="e">
        <f>AND(#REF!,"AAAAAH97/uU=")</f>
        <v>#REF!</v>
      </c>
      <c r="HW20" t="e">
        <f>AND(#REF!,"AAAAAH97/uY=")</f>
        <v>#REF!</v>
      </c>
      <c r="HX20" t="e">
        <f>AND(#REF!,"AAAAAH97/uc=")</f>
        <v>#REF!</v>
      </c>
      <c r="HY20" t="e">
        <f>AND(#REF!,"AAAAAH97/ug=")</f>
        <v>#REF!</v>
      </c>
      <c r="HZ20" t="e">
        <f>AND(#REF!,"AAAAAH97/uk=")</f>
        <v>#REF!</v>
      </c>
      <c r="IA20" t="e">
        <f>AND(#REF!,"AAAAAH97/uo=")</f>
        <v>#REF!</v>
      </c>
      <c r="IB20" t="e">
        <f>AND(#REF!,"AAAAAH97/us=")</f>
        <v>#REF!</v>
      </c>
      <c r="IC20" t="e">
        <f>AND(#REF!,"AAAAAH97/uw=")</f>
        <v>#REF!</v>
      </c>
      <c r="ID20" t="e">
        <f>AND(#REF!,"AAAAAH97/u0=")</f>
        <v>#REF!</v>
      </c>
      <c r="IE20" t="e">
        <f>AND(#REF!,"AAAAAH97/u4=")</f>
        <v>#REF!</v>
      </c>
      <c r="IF20" t="e">
        <f>AND(#REF!,"AAAAAH97/u8=")</f>
        <v>#REF!</v>
      </c>
      <c r="IG20" t="e">
        <f>AND(#REF!,"AAAAAH97/vA=")</f>
        <v>#REF!</v>
      </c>
      <c r="IH20" t="e">
        <f>AND(#REF!,"AAAAAH97/vE=")</f>
        <v>#REF!</v>
      </c>
      <c r="II20" t="e">
        <f>AND(#REF!,"AAAAAH97/vI=")</f>
        <v>#REF!</v>
      </c>
      <c r="IJ20" t="e">
        <f>AND(#REF!,"AAAAAH97/vM=")</f>
        <v>#REF!</v>
      </c>
      <c r="IK20" t="e">
        <f>AND(#REF!,"AAAAAH97/vQ=")</f>
        <v>#REF!</v>
      </c>
      <c r="IL20" t="e">
        <f>AND(#REF!,"AAAAAH97/vU=")</f>
        <v>#REF!</v>
      </c>
      <c r="IM20" t="e">
        <f>AND(#REF!,"AAAAAH97/vY=")</f>
        <v>#REF!</v>
      </c>
      <c r="IN20" t="e">
        <f>IF(#REF!,"AAAAAH97/vc=",0)</f>
        <v>#REF!</v>
      </c>
      <c r="IO20" t="e">
        <f>AND(#REF!,"AAAAAH97/vg=")</f>
        <v>#REF!</v>
      </c>
      <c r="IP20" t="e">
        <f>AND(#REF!,"AAAAAH97/vk=")</f>
        <v>#REF!</v>
      </c>
      <c r="IQ20" t="e">
        <f>AND(#REF!,"AAAAAH97/vo=")</f>
        <v>#REF!</v>
      </c>
      <c r="IR20" t="e">
        <f>AND(#REF!,"AAAAAH97/vs=")</f>
        <v>#REF!</v>
      </c>
      <c r="IS20" t="e">
        <f>AND(#REF!,"AAAAAH97/vw=")</f>
        <v>#REF!</v>
      </c>
      <c r="IT20" t="e">
        <f>AND(#REF!,"AAAAAH97/v0=")</f>
        <v>#REF!</v>
      </c>
      <c r="IU20" t="e">
        <f>AND(#REF!,"AAAAAH97/v4=")</f>
        <v>#REF!</v>
      </c>
      <c r="IV20" t="e">
        <f>AND(#REF!,"AAAAAH97/v8=")</f>
        <v>#REF!</v>
      </c>
    </row>
    <row r="21" spans="1:256">
      <c r="A21" t="e">
        <f>AND(#REF!,"AAAAAHn79QA=")</f>
        <v>#REF!</v>
      </c>
      <c r="B21" t="e">
        <f>AND(#REF!,"AAAAAHn79QE=")</f>
        <v>#REF!</v>
      </c>
      <c r="C21" t="e">
        <f>AND(#REF!,"AAAAAHn79QI=")</f>
        <v>#REF!</v>
      </c>
      <c r="D21" t="e">
        <f>AND(#REF!,"AAAAAHn79QM=")</f>
        <v>#REF!</v>
      </c>
      <c r="E21" t="e">
        <f>AND(#REF!,"AAAAAHn79QQ=")</f>
        <v>#REF!</v>
      </c>
      <c r="F21" t="e">
        <f>AND(#REF!,"AAAAAHn79QU=")</f>
        <v>#REF!</v>
      </c>
      <c r="G21" t="e">
        <f>AND(#REF!,"AAAAAHn79QY=")</f>
        <v>#REF!</v>
      </c>
      <c r="H21" t="e">
        <f>AND(#REF!,"AAAAAHn79Qc=")</f>
        <v>#REF!</v>
      </c>
      <c r="I21" t="e">
        <f>AND(#REF!,"AAAAAHn79Qg=")</f>
        <v>#REF!</v>
      </c>
      <c r="J21" t="e">
        <f>AND(#REF!,"AAAAAHn79Qk=")</f>
        <v>#REF!</v>
      </c>
      <c r="K21" t="e">
        <f>AND(#REF!,"AAAAAHn79Qo=")</f>
        <v>#REF!</v>
      </c>
      <c r="L21" t="e">
        <f>AND(#REF!,"AAAAAHn79Qs=")</f>
        <v>#REF!</v>
      </c>
      <c r="M21" t="e">
        <f>IF(#REF!,"AAAAAHn79Qw=",0)</f>
        <v>#REF!</v>
      </c>
      <c r="N21" t="e">
        <f>AND(#REF!,"AAAAAHn79Q0=")</f>
        <v>#REF!</v>
      </c>
      <c r="O21" t="e">
        <f>AND(#REF!,"AAAAAHn79Q4=")</f>
        <v>#REF!</v>
      </c>
      <c r="P21" t="e">
        <f>AND(#REF!,"AAAAAHn79Q8=")</f>
        <v>#REF!</v>
      </c>
      <c r="Q21" t="e">
        <f>AND(#REF!,"AAAAAHn79RA=")</f>
        <v>#REF!</v>
      </c>
      <c r="R21" t="e">
        <f>AND(#REF!,"AAAAAHn79RE=")</f>
        <v>#REF!</v>
      </c>
      <c r="S21" t="e">
        <f>AND(#REF!,"AAAAAHn79RI=")</f>
        <v>#REF!</v>
      </c>
      <c r="T21" t="e">
        <f>AND(#REF!,"AAAAAHn79RM=")</f>
        <v>#REF!</v>
      </c>
      <c r="U21" t="e">
        <f>AND(#REF!,"AAAAAHn79RQ=")</f>
        <v>#REF!</v>
      </c>
      <c r="V21" t="e">
        <f>AND(#REF!,"AAAAAHn79RU=")</f>
        <v>#REF!</v>
      </c>
      <c r="W21" t="e">
        <f>AND(#REF!,"AAAAAHn79RY=")</f>
        <v>#REF!</v>
      </c>
      <c r="X21" t="e">
        <f>AND(#REF!,"AAAAAHn79Rc=")</f>
        <v>#REF!</v>
      </c>
      <c r="Y21" t="e">
        <f>AND(#REF!,"AAAAAHn79Rg=")</f>
        <v>#REF!</v>
      </c>
      <c r="Z21" t="e">
        <f>AND(#REF!,"AAAAAHn79Rk=")</f>
        <v>#REF!</v>
      </c>
      <c r="AA21" t="e">
        <f>AND(#REF!,"AAAAAHn79Ro=")</f>
        <v>#REF!</v>
      </c>
      <c r="AB21" t="e">
        <f>AND(#REF!,"AAAAAHn79Rs=")</f>
        <v>#REF!</v>
      </c>
      <c r="AC21" t="e">
        <f>AND(#REF!,"AAAAAHn79Rw=")</f>
        <v>#REF!</v>
      </c>
      <c r="AD21" t="e">
        <f>AND(#REF!,"AAAAAHn79R0=")</f>
        <v>#REF!</v>
      </c>
      <c r="AE21" t="e">
        <f>AND(#REF!,"AAAAAHn79R4=")</f>
        <v>#REF!</v>
      </c>
      <c r="AF21" t="e">
        <f>AND(#REF!,"AAAAAHn79R8=")</f>
        <v>#REF!</v>
      </c>
      <c r="AG21" t="e">
        <f>AND(#REF!,"AAAAAHn79SA=")</f>
        <v>#REF!</v>
      </c>
      <c r="AH21" t="e">
        <f>IF(#REF!,"AAAAAHn79SE=",0)</f>
        <v>#REF!</v>
      </c>
      <c r="AI21" t="e">
        <f>AND(#REF!,"AAAAAHn79SI=")</f>
        <v>#REF!</v>
      </c>
      <c r="AJ21" t="e">
        <f>AND(#REF!,"AAAAAHn79SM=")</f>
        <v>#REF!</v>
      </c>
      <c r="AK21" t="e">
        <f>AND(#REF!,"AAAAAHn79SQ=")</f>
        <v>#REF!</v>
      </c>
      <c r="AL21" t="e">
        <f>AND(#REF!,"AAAAAHn79SU=")</f>
        <v>#REF!</v>
      </c>
      <c r="AM21" t="e">
        <f>AND(#REF!,"AAAAAHn79SY=")</f>
        <v>#REF!</v>
      </c>
      <c r="AN21" t="e">
        <f>AND(#REF!,"AAAAAHn79Sc=")</f>
        <v>#REF!</v>
      </c>
      <c r="AO21" t="e">
        <f>AND(#REF!,"AAAAAHn79Sg=")</f>
        <v>#REF!</v>
      </c>
      <c r="AP21" t="e">
        <f>AND(#REF!,"AAAAAHn79Sk=")</f>
        <v>#REF!</v>
      </c>
      <c r="AQ21" t="e">
        <f>AND(#REF!,"AAAAAHn79So=")</f>
        <v>#REF!</v>
      </c>
      <c r="AR21" t="e">
        <f>AND(#REF!,"AAAAAHn79Ss=")</f>
        <v>#REF!</v>
      </c>
      <c r="AS21" t="e">
        <f>AND(#REF!,"AAAAAHn79Sw=")</f>
        <v>#REF!</v>
      </c>
      <c r="AT21" t="e">
        <f>AND(#REF!,"AAAAAHn79S0=")</f>
        <v>#REF!</v>
      </c>
      <c r="AU21" t="e">
        <f>AND(#REF!,"AAAAAHn79S4=")</f>
        <v>#REF!</v>
      </c>
      <c r="AV21" t="e">
        <f>AND(#REF!,"AAAAAHn79S8=")</f>
        <v>#REF!</v>
      </c>
      <c r="AW21" t="e">
        <f>AND(#REF!,"AAAAAHn79TA=")</f>
        <v>#REF!</v>
      </c>
      <c r="AX21" t="e">
        <f>AND(#REF!,"AAAAAHn79TE=")</f>
        <v>#REF!</v>
      </c>
      <c r="AY21" t="e">
        <f>AND(#REF!,"AAAAAHn79TI=")</f>
        <v>#REF!</v>
      </c>
      <c r="AZ21" t="e">
        <f>AND(#REF!,"AAAAAHn79TM=")</f>
        <v>#REF!</v>
      </c>
      <c r="BA21" t="e">
        <f>AND(#REF!,"AAAAAHn79TQ=")</f>
        <v>#REF!</v>
      </c>
      <c r="BB21" t="e">
        <f>AND(#REF!,"AAAAAHn79TU=")</f>
        <v>#REF!</v>
      </c>
      <c r="BC21" t="e">
        <f>IF(#REF!,"AAAAAHn79TY=",0)</f>
        <v>#REF!</v>
      </c>
      <c r="BD21" t="e">
        <f>AND(#REF!,"AAAAAHn79Tc=")</f>
        <v>#REF!</v>
      </c>
      <c r="BE21" t="e">
        <f>AND(#REF!,"AAAAAHn79Tg=")</f>
        <v>#REF!</v>
      </c>
      <c r="BF21" t="e">
        <f>AND(#REF!,"AAAAAHn79Tk=")</f>
        <v>#REF!</v>
      </c>
      <c r="BG21" t="e">
        <f>AND(#REF!,"AAAAAHn79To=")</f>
        <v>#REF!</v>
      </c>
      <c r="BH21" t="e">
        <f>AND(#REF!,"AAAAAHn79Ts=")</f>
        <v>#REF!</v>
      </c>
      <c r="BI21" t="e">
        <f>AND(#REF!,"AAAAAHn79Tw=")</f>
        <v>#REF!</v>
      </c>
      <c r="BJ21" t="e">
        <f>AND(#REF!,"AAAAAHn79T0=")</f>
        <v>#REF!</v>
      </c>
      <c r="BK21" t="e">
        <f>AND(#REF!,"AAAAAHn79T4=")</f>
        <v>#REF!</v>
      </c>
      <c r="BL21" t="e">
        <f>AND(#REF!,"AAAAAHn79T8=")</f>
        <v>#REF!</v>
      </c>
      <c r="BM21" t="e">
        <f>AND(#REF!,"AAAAAHn79UA=")</f>
        <v>#REF!</v>
      </c>
      <c r="BN21" t="e">
        <f>AND(#REF!,"AAAAAHn79UE=")</f>
        <v>#REF!</v>
      </c>
      <c r="BO21" t="e">
        <f>AND(#REF!,"AAAAAHn79UI=")</f>
        <v>#REF!</v>
      </c>
      <c r="BP21" t="e">
        <f>AND(#REF!,"AAAAAHn79UM=")</f>
        <v>#REF!</v>
      </c>
      <c r="BQ21" t="e">
        <f>AND(#REF!,"AAAAAHn79UQ=")</f>
        <v>#REF!</v>
      </c>
      <c r="BR21" t="e">
        <f>AND(#REF!,"AAAAAHn79UU=")</f>
        <v>#REF!</v>
      </c>
      <c r="BS21" t="e">
        <f>AND(#REF!,"AAAAAHn79UY=")</f>
        <v>#REF!</v>
      </c>
      <c r="BT21" t="e">
        <f>AND(#REF!,"AAAAAHn79Uc=")</f>
        <v>#REF!</v>
      </c>
      <c r="BU21" t="e">
        <f>AND(#REF!,"AAAAAHn79Ug=")</f>
        <v>#REF!</v>
      </c>
      <c r="BV21" t="e">
        <f>AND(#REF!,"AAAAAHn79Uk=")</f>
        <v>#REF!</v>
      </c>
      <c r="BW21" t="e">
        <f>AND(#REF!,"AAAAAHn79Uo=")</f>
        <v>#REF!</v>
      </c>
      <c r="BX21" t="e">
        <f>IF(#REF!,"AAAAAHn79Us=",0)</f>
        <v>#REF!</v>
      </c>
      <c r="BY21" t="e">
        <f>AND(#REF!,"AAAAAHn79Uw=")</f>
        <v>#REF!</v>
      </c>
      <c r="BZ21" t="e">
        <f>AND(#REF!,"AAAAAHn79U0=")</f>
        <v>#REF!</v>
      </c>
      <c r="CA21" t="e">
        <f>AND(#REF!,"AAAAAHn79U4=")</f>
        <v>#REF!</v>
      </c>
      <c r="CB21" t="e">
        <f>AND(#REF!,"AAAAAHn79U8=")</f>
        <v>#REF!</v>
      </c>
      <c r="CC21" t="e">
        <f>AND(#REF!,"AAAAAHn79VA=")</f>
        <v>#REF!</v>
      </c>
      <c r="CD21" t="e">
        <f>AND(#REF!,"AAAAAHn79VE=")</f>
        <v>#REF!</v>
      </c>
      <c r="CE21" t="e">
        <f>AND(#REF!,"AAAAAHn79VI=")</f>
        <v>#REF!</v>
      </c>
      <c r="CF21" t="e">
        <f>AND(#REF!,"AAAAAHn79VM=")</f>
        <v>#REF!</v>
      </c>
      <c r="CG21" t="e">
        <f>AND(#REF!,"AAAAAHn79VQ=")</f>
        <v>#REF!</v>
      </c>
      <c r="CH21" t="e">
        <f>AND(#REF!,"AAAAAHn79VU=")</f>
        <v>#REF!</v>
      </c>
      <c r="CI21" t="e">
        <f>AND(#REF!,"AAAAAHn79VY=")</f>
        <v>#REF!</v>
      </c>
      <c r="CJ21" t="e">
        <f>AND(#REF!,"AAAAAHn79Vc=")</f>
        <v>#REF!</v>
      </c>
      <c r="CK21" t="e">
        <f>AND(#REF!,"AAAAAHn79Vg=")</f>
        <v>#REF!</v>
      </c>
      <c r="CL21" t="e">
        <f>AND(#REF!,"AAAAAHn79Vk=")</f>
        <v>#REF!</v>
      </c>
      <c r="CM21" t="e">
        <f>AND(#REF!,"AAAAAHn79Vo=")</f>
        <v>#REF!</v>
      </c>
      <c r="CN21" t="e">
        <f>AND(#REF!,"AAAAAHn79Vs=")</f>
        <v>#REF!</v>
      </c>
      <c r="CO21" t="e">
        <f>AND(#REF!,"AAAAAHn79Vw=")</f>
        <v>#REF!</v>
      </c>
      <c r="CP21" t="e">
        <f>AND(#REF!,"AAAAAHn79V0=")</f>
        <v>#REF!</v>
      </c>
      <c r="CQ21" t="e">
        <f>AND(#REF!,"AAAAAHn79V4=")</f>
        <v>#REF!</v>
      </c>
      <c r="CR21" t="e">
        <f>AND(#REF!,"AAAAAHn79V8=")</f>
        <v>#REF!</v>
      </c>
      <c r="CS21" t="e">
        <f>IF(#REF!,"AAAAAHn79WA=",0)</f>
        <v>#REF!</v>
      </c>
      <c r="CT21" t="e">
        <f>AND(#REF!,"AAAAAHn79WE=")</f>
        <v>#REF!</v>
      </c>
      <c r="CU21" t="e">
        <f>AND(#REF!,"AAAAAHn79WI=")</f>
        <v>#REF!</v>
      </c>
      <c r="CV21" t="e">
        <f>AND(#REF!,"AAAAAHn79WM=")</f>
        <v>#REF!</v>
      </c>
      <c r="CW21" t="e">
        <f>AND(#REF!,"AAAAAHn79WQ=")</f>
        <v>#REF!</v>
      </c>
      <c r="CX21" t="e">
        <f>AND(#REF!,"AAAAAHn79WU=")</f>
        <v>#REF!</v>
      </c>
      <c r="CY21" t="e">
        <f>AND(#REF!,"AAAAAHn79WY=")</f>
        <v>#REF!</v>
      </c>
      <c r="CZ21" t="e">
        <f>AND(#REF!,"AAAAAHn79Wc=")</f>
        <v>#REF!</v>
      </c>
      <c r="DA21" t="e">
        <f>AND(#REF!,"AAAAAHn79Wg=")</f>
        <v>#REF!</v>
      </c>
      <c r="DB21" t="e">
        <f>AND(#REF!,"AAAAAHn79Wk=")</f>
        <v>#REF!</v>
      </c>
      <c r="DC21" t="e">
        <f>AND(#REF!,"AAAAAHn79Wo=")</f>
        <v>#REF!</v>
      </c>
      <c r="DD21" t="e">
        <f>AND(#REF!,"AAAAAHn79Ws=")</f>
        <v>#REF!</v>
      </c>
      <c r="DE21" t="e">
        <f>AND(#REF!,"AAAAAHn79Ww=")</f>
        <v>#REF!</v>
      </c>
      <c r="DF21" t="e">
        <f>AND(#REF!,"AAAAAHn79W0=")</f>
        <v>#REF!</v>
      </c>
      <c r="DG21" t="e">
        <f>AND(#REF!,"AAAAAHn79W4=")</f>
        <v>#REF!</v>
      </c>
      <c r="DH21" t="e">
        <f>AND(#REF!,"AAAAAHn79W8=")</f>
        <v>#REF!</v>
      </c>
      <c r="DI21" t="e">
        <f>AND(#REF!,"AAAAAHn79XA=")</f>
        <v>#REF!</v>
      </c>
      <c r="DJ21" t="e">
        <f>AND(#REF!,"AAAAAHn79XE=")</f>
        <v>#REF!</v>
      </c>
      <c r="DK21" t="e">
        <f>AND(#REF!,"AAAAAHn79XI=")</f>
        <v>#REF!</v>
      </c>
      <c r="DL21" t="e">
        <f>AND(#REF!,"AAAAAHn79XM=")</f>
        <v>#REF!</v>
      </c>
      <c r="DM21" t="e">
        <f>AND(#REF!,"AAAAAHn79XQ=")</f>
        <v>#REF!</v>
      </c>
      <c r="DN21" t="e">
        <f>IF(#REF!,"AAAAAHn79XU=",0)</f>
        <v>#REF!</v>
      </c>
      <c r="DO21" t="e">
        <f>AND(#REF!,"AAAAAHn79XY=")</f>
        <v>#REF!</v>
      </c>
      <c r="DP21" t="e">
        <f>AND(#REF!,"AAAAAHn79Xc=")</f>
        <v>#REF!</v>
      </c>
      <c r="DQ21" t="e">
        <f>AND(#REF!,"AAAAAHn79Xg=")</f>
        <v>#REF!</v>
      </c>
      <c r="DR21" t="e">
        <f>AND(#REF!,"AAAAAHn79Xk=")</f>
        <v>#REF!</v>
      </c>
      <c r="DS21" t="e">
        <f>AND(#REF!,"AAAAAHn79Xo=")</f>
        <v>#REF!</v>
      </c>
      <c r="DT21" t="e">
        <f>AND(#REF!,"AAAAAHn79Xs=")</f>
        <v>#REF!</v>
      </c>
      <c r="DU21" t="e">
        <f>AND(#REF!,"AAAAAHn79Xw=")</f>
        <v>#REF!</v>
      </c>
      <c r="DV21" t="e">
        <f>AND(#REF!,"AAAAAHn79X0=")</f>
        <v>#REF!</v>
      </c>
      <c r="DW21" t="e">
        <f>AND(#REF!,"AAAAAHn79X4=")</f>
        <v>#REF!</v>
      </c>
      <c r="DX21" t="e">
        <f>AND(#REF!,"AAAAAHn79X8=")</f>
        <v>#REF!</v>
      </c>
      <c r="DY21" t="e">
        <f>AND(#REF!,"AAAAAHn79YA=")</f>
        <v>#REF!</v>
      </c>
      <c r="DZ21" t="e">
        <f>AND(#REF!,"AAAAAHn79YE=")</f>
        <v>#REF!</v>
      </c>
      <c r="EA21" t="e">
        <f>AND(#REF!,"AAAAAHn79YI=")</f>
        <v>#REF!</v>
      </c>
      <c r="EB21" t="e">
        <f>AND(#REF!,"AAAAAHn79YM=")</f>
        <v>#REF!</v>
      </c>
      <c r="EC21" t="e">
        <f>AND(#REF!,"AAAAAHn79YQ=")</f>
        <v>#REF!</v>
      </c>
      <c r="ED21" t="e">
        <f>AND(#REF!,"AAAAAHn79YU=")</f>
        <v>#REF!</v>
      </c>
      <c r="EE21" t="e">
        <f>AND(#REF!,"AAAAAHn79YY=")</f>
        <v>#REF!</v>
      </c>
      <c r="EF21" t="e">
        <f>AND(#REF!,"AAAAAHn79Yc=")</f>
        <v>#REF!</v>
      </c>
      <c r="EG21" t="e">
        <f>AND(#REF!,"AAAAAHn79Yg=")</f>
        <v>#REF!</v>
      </c>
      <c r="EH21" t="e">
        <f>AND(#REF!,"AAAAAHn79Yk=")</f>
        <v>#REF!</v>
      </c>
      <c r="EI21" t="e">
        <f>IF(#REF!,"AAAAAHn79Yo=",0)</f>
        <v>#REF!</v>
      </c>
      <c r="EJ21" t="e">
        <f>AND(#REF!,"AAAAAHn79Ys=")</f>
        <v>#REF!</v>
      </c>
      <c r="EK21" t="e">
        <f>AND(#REF!,"AAAAAHn79Yw=")</f>
        <v>#REF!</v>
      </c>
      <c r="EL21" t="e">
        <f>AND(#REF!,"AAAAAHn79Y0=")</f>
        <v>#REF!</v>
      </c>
      <c r="EM21" t="e">
        <f>AND(#REF!,"AAAAAHn79Y4=")</f>
        <v>#REF!</v>
      </c>
      <c r="EN21" t="e">
        <f>AND(#REF!,"AAAAAHn79Y8=")</f>
        <v>#REF!</v>
      </c>
      <c r="EO21" t="e">
        <f>AND(#REF!,"AAAAAHn79ZA=")</f>
        <v>#REF!</v>
      </c>
      <c r="EP21" t="e">
        <f>AND(#REF!,"AAAAAHn79ZE=")</f>
        <v>#REF!</v>
      </c>
      <c r="EQ21" t="e">
        <f>AND(#REF!,"AAAAAHn79ZI=")</f>
        <v>#REF!</v>
      </c>
      <c r="ER21" t="e">
        <f>AND(#REF!,"AAAAAHn79ZM=")</f>
        <v>#REF!</v>
      </c>
      <c r="ES21" t="e">
        <f>AND(#REF!,"AAAAAHn79ZQ=")</f>
        <v>#REF!</v>
      </c>
      <c r="ET21" t="e">
        <f>AND(#REF!,"AAAAAHn79ZU=")</f>
        <v>#REF!</v>
      </c>
      <c r="EU21" t="e">
        <f>AND(#REF!,"AAAAAHn79ZY=")</f>
        <v>#REF!</v>
      </c>
      <c r="EV21" t="e">
        <f>AND(#REF!,"AAAAAHn79Zc=")</f>
        <v>#REF!</v>
      </c>
      <c r="EW21" t="e">
        <f>AND(#REF!,"AAAAAHn79Zg=")</f>
        <v>#REF!</v>
      </c>
      <c r="EX21" t="e">
        <f>AND(#REF!,"AAAAAHn79Zk=")</f>
        <v>#REF!</v>
      </c>
      <c r="EY21" t="e">
        <f>AND(#REF!,"AAAAAHn79Zo=")</f>
        <v>#REF!</v>
      </c>
      <c r="EZ21" t="e">
        <f>AND(#REF!,"AAAAAHn79Zs=")</f>
        <v>#REF!</v>
      </c>
      <c r="FA21" t="e">
        <f>AND(#REF!,"AAAAAHn79Zw=")</f>
        <v>#REF!</v>
      </c>
      <c r="FB21" t="e">
        <f>AND(#REF!,"AAAAAHn79Z0=")</f>
        <v>#REF!</v>
      </c>
      <c r="FC21" t="e">
        <f>AND(#REF!,"AAAAAHn79Z4=")</f>
        <v>#REF!</v>
      </c>
      <c r="FD21" t="e">
        <f>IF(#REF!,"AAAAAHn79Z8=",0)</f>
        <v>#REF!</v>
      </c>
      <c r="FE21" t="e">
        <f>AND(#REF!,"AAAAAHn79aA=")</f>
        <v>#REF!</v>
      </c>
      <c r="FF21" t="e">
        <f>AND(#REF!,"AAAAAHn79aE=")</f>
        <v>#REF!</v>
      </c>
      <c r="FG21" t="e">
        <f>AND(#REF!,"AAAAAHn79aI=")</f>
        <v>#REF!</v>
      </c>
      <c r="FH21" t="e">
        <f>AND(#REF!,"AAAAAHn79aM=")</f>
        <v>#REF!</v>
      </c>
      <c r="FI21" t="e">
        <f>AND(#REF!,"AAAAAHn79aQ=")</f>
        <v>#REF!</v>
      </c>
      <c r="FJ21" t="e">
        <f>AND(#REF!,"AAAAAHn79aU=")</f>
        <v>#REF!</v>
      </c>
      <c r="FK21" t="e">
        <f>AND(#REF!,"AAAAAHn79aY=")</f>
        <v>#REF!</v>
      </c>
      <c r="FL21" t="e">
        <f>AND(#REF!,"AAAAAHn79ac=")</f>
        <v>#REF!</v>
      </c>
      <c r="FM21" t="e">
        <f>AND(#REF!,"AAAAAHn79ag=")</f>
        <v>#REF!</v>
      </c>
      <c r="FN21" t="e">
        <f>AND(#REF!,"AAAAAHn79ak=")</f>
        <v>#REF!</v>
      </c>
      <c r="FO21" t="e">
        <f>AND(#REF!,"AAAAAHn79ao=")</f>
        <v>#REF!</v>
      </c>
      <c r="FP21" t="e">
        <f>AND(#REF!,"AAAAAHn79as=")</f>
        <v>#REF!</v>
      </c>
      <c r="FQ21" t="e">
        <f>AND(#REF!,"AAAAAHn79aw=")</f>
        <v>#REF!</v>
      </c>
      <c r="FR21" t="e">
        <f>AND(#REF!,"AAAAAHn79a0=")</f>
        <v>#REF!</v>
      </c>
      <c r="FS21" t="e">
        <f>AND(#REF!,"AAAAAHn79a4=")</f>
        <v>#REF!</v>
      </c>
      <c r="FT21" t="e">
        <f>AND(#REF!,"AAAAAHn79a8=")</f>
        <v>#REF!</v>
      </c>
      <c r="FU21" t="e">
        <f>AND(#REF!,"AAAAAHn79bA=")</f>
        <v>#REF!</v>
      </c>
      <c r="FV21" t="e">
        <f>AND(#REF!,"AAAAAHn79bE=")</f>
        <v>#REF!</v>
      </c>
      <c r="FW21" t="e">
        <f>AND(#REF!,"AAAAAHn79bI=")</f>
        <v>#REF!</v>
      </c>
      <c r="FX21" t="e">
        <f>AND(#REF!,"AAAAAHn79bM=")</f>
        <v>#REF!</v>
      </c>
      <c r="FY21" t="e">
        <f>IF(#REF!,"AAAAAHn79bQ=",0)</f>
        <v>#REF!</v>
      </c>
      <c r="FZ21" t="e">
        <f>AND(#REF!,"AAAAAHn79bU=")</f>
        <v>#REF!</v>
      </c>
      <c r="GA21" t="e">
        <f>AND(#REF!,"AAAAAHn79bY=")</f>
        <v>#REF!</v>
      </c>
      <c r="GB21" t="e">
        <f>AND(#REF!,"AAAAAHn79bc=")</f>
        <v>#REF!</v>
      </c>
      <c r="GC21" t="e">
        <f>AND(#REF!,"AAAAAHn79bg=")</f>
        <v>#REF!</v>
      </c>
      <c r="GD21" t="e">
        <f>AND(#REF!,"AAAAAHn79bk=")</f>
        <v>#REF!</v>
      </c>
      <c r="GE21" t="e">
        <f>AND(#REF!,"AAAAAHn79bo=")</f>
        <v>#REF!</v>
      </c>
      <c r="GF21" t="e">
        <f>AND(#REF!,"AAAAAHn79bs=")</f>
        <v>#REF!</v>
      </c>
      <c r="GG21" t="e">
        <f>AND(#REF!,"AAAAAHn79bw=")</f>
        <v>#REF!</v>
      </c>
      <c r="GH21" t="e">
        <f>AND(#REF!,"AAAAAHn79b0=")</f>
        <v>#REF!</v>
      </c>
      <c r="GI21" t="e">
        <f>AND(#REF!,"AAAAAHn79b4=")</f>
        <v>#REF!</v>
      </c>
      <c r="GJ21" t="e">
        <f>AND(#REF!,"AAAAAHn79b8=")</f>
        <v>#REF!</v>
      </c>
      <c r="GK21" t="e">
        <f>AND(#REF!,"AAAAAHn79cA=")</f>
        <v>#REF!</v>
      </c>
      <c r="GL21" t="e">
        <f>AND(#REF!,"AAAAAHn79cE=")</f>
        <v>#REF!</v>
      </c>
      <c r="GM21" t="e">
        <f>AND(#REF!,"AAAAAHn79cI=")</f>
        <v>#REF!</v>
      </c>
      <c r="GN21" t="e">
        <f>AND(#REF!,"AAAAAHn79cM=")</f>
        <v>#REF!</v>
      </c>
      <c r="GO21" t="e">
        <f>AND(#REF!,"AAAAAHn79cQ=")</f>
        <v>#REF!</v>
      </c>
      <c r="GP21" t="e">
        <f>AND(#REF!,"AAAAAHn79cU=")</f>
        <v>#REF!</v>
      </c>
      <c r="GQ21" t="e">
        <f>AND(#REF!,"AAAAAHn79cY=")</f>
        <v>#REF!</v>
      </c>
      <c r="GR21" t="e">
        <f>AND(#REF!,"AAAAAHn79cc=")</f>
        <v>#REF!</v>
      </c>
      <c r="GS21" t="e">
        <f>AND(#REF!,"AAAAAHn79cg=")</f>
        <v>#REF!</v>
      </c>
      <c r="GT21" t="e">
        <f>IF(#REF!,"AAAAAHn79ck=",0)</f>
        <v>#REF!</v>
      </c>
      <c r="GU21" t="e">
        <f>AND(#REF!,"AAAAAHn79co=")</f>
        <v>#REF!</v>
      </c>
      <c r="GV21" t="e">
        <f>AND(#REF!,"AAAAAHn79cs=")</f>
        <v>#REF!</v>
      </c>
      <c r="GW21" t="e">
        <f>AND(#REF!,"AAAAAHn79cw=")</f>
        <v>#REF!</v>
      </c>
      <c r="GX21" t="e">
        <f>AND(#REF!,"AAAAAHn79c0=")</f>
        <v>#REF!</v>
      </c>
      <c r="GY21" t="e">
        <f>AND(#REF!,"AAAAAHn79c4=")</f>
        <v>#REF!</v>
      </c>
      <c r="GZ21" t="e">
        <f>AND(#REF!,"AAAAAHn79c8=")</f>
        <v>#REF!</v>
      </c>
      <c r="HA21" t="e">
        <f>AND(#REF!,"AAAAAHn79dA=")</f>
        <v>#REF!</v>
      </c>
      <c r="HB21" t="e">
        <f>AND(#REF!,"AAAAAHn79dE=")</f>
        <v>#REF!</v>
      </c>
      <c r="HC21" t="e">
        <f>AND(#REF!,"AAAAAHn79dI=")</f>
        <v>#REF!</v>
      </c>
      <c r="HD21" t="e">
        <f>AND(#REF!,"AAAAAHn79dM=")</f>
        <v>#REF!</v>
      </c>
      <c r="HE21" t="e">
        <f>AND(#REF!,"AAAAAHn79dQ=")</f>
        <v>#REF!</v>
      </c>
      <c r="HF21" t="e">
        <f>AND(#REF!,"AAAAAHn79dU=")</f>
        <v>#REF!</v>
      </c>
      <c r="HG21" t="e">
        <f>AND(#REF!,"AAAAAHn79dY=")</f>
        <v>#REF!</v>
      </c>
      <c r="HH21" t="e">
        <f>AND(#REF!,"AAAAAHn79dc=")</f>
        <v>#REF!</v>
      </c>
      <c r="HI21" t="e">
        <f>AND(#REF!,"AAAAAHn79dg=")</f>
        <v>#REF!</v>
      </c>
      <c r="HJ21" t="e">
        <f>AND(#REF!,"AAAAAHn79dk=")</f>
        <v>#REF!</v>
      </c>
      <c r="HK21" t="e">
        <f>AND(#REF!,"AAAAAHn79do=")</f>
        <v>#REF!</v>
      </c>
      <c r="HL21" t="e">
        <f>AND(#REF!,"AAAAAHn79ds=")</f>
        <v>#REF!</v>
      </c>
      <c r="HM21" t="e">
        <f>AND(#REF!,"AAAAAHn79dw=")</f>
        <v>#REF!</v>
      </c>
      <c r="HN21" t="e">
        <f>AND(#REF!,"AAAAAHn79d0=")</f>
        <v>#REF!</v>
      </c>
      <c r="HO21" t="e">
        <f>IF(#REF!,"AAAAAHn79d4=",0)</f>
        <v>#REF!</v>
      </c>
      <c r="HP21" t="e">
        <f>AND(#REF!,"AAAAAHn79d8=")</f>
        <v>#REF!</v>
      </c>
      <c r="HQ21" t="e">
        <f>AND(#REF!,"AAAAAHn79eA=")</f>
        <v>#REF!</v>
      </c>
      <c r="HR21" t="e">
        <f>AND(#REF!,"AAAAAHn79eE=")</f>
        <v>#REF!</v>
      </c>
      <c r="HS21" t="e">
        <f>AND(#REF!,"AAAAAHn79eI=")</f>
        <v>#REF!</v>
      </c>
      <c r="HT21" t="e">
        <f>AND(#REF!,"AAAAAHn79eM=")</f>
        <v>#REF!</v>
      </c>
      <c r="HU21" t="e">
        <f>AND(#REF!,"AAAAAHn79eQ=")</f>
        <v>#REF!</v>
      </c>
      <c r="HV21" t="e">
        <f>AND(#REF!,"AAAAAHn79eU=")</f>
        <v>#REF!</v>
      </c>
      <c r="HW21" t="e">
        <f>AND(#REF!,"AAAAAHn79eY=")</f>
        <v>#REF!</v>
      </c>
      <c r="HX21" t="e">
        <f>AND(#REF!,"AAAAAHn79ec=")</f>
        <v>#REF!</v>
      </c>
      <c r="HY21" t="e">
        <f>AND(#REF!,"AAAAAHn79eg=")</f>
        <v>#REF!</v>
      </c>
      <c r="HZ21" t="e">
        <f>AND(#REF!,"AAAAAHn79ek=")</f>
        <v>#REF!</v>
      </c>
      <c r="IA21" t="e">
        <f>AND(#REF!,"AAAAAHn79eo=")</f>
        <v>#REF!</v>
      </c>
      <c r="IB21" t="e">
        <f>AND(#REF!,"AAAAAHn79es=")</f>
        <v>#REF!</v>
      </c>
      <c r="IC21" t="e">
        <f>AND(#REF!,"AAAAAHn79ew=")</f>
        <v>#REF!</v>
      </c>
      <c r="ID21" t="e">
        <f>AND(#REF!,"AAAAAHn79e0=")</f>
        <v>#REF!</v>
      </c>
      <c r="IE21" t="e">
        <f>AND(#REF!,"AAAAAHn79e4=")</f>
        <v>#REF!</v>
      </c>
      <c r="IF21" t="e">
        <f>AND(#REF!,"AAAAAHn79e8=")</f>
        <v>#REF!</v>
      </c>
      <c r="IG21" t="e">
        <f>AND(#REF!,"AAAAAHn79fA=")</f>
        <v>#REF!</v>
      </c>
      <c r="IH21" t="e">
        <f>AND(#REF!,"AAAAAHn79fE=")</f>
        <v>#REF!</v>
      </c>
      <c r="II21" t="e">
        <f>AND(#REF!,"AAAAAHn79fI=")</f>
        <v>#REF!</v>
      </c>
      <c r="IJ21" t="e">
        <f>IF(#REF!,"AAAAAHn79fM=",0)</f>
        <v>#REF!</v>
      </c>
      <c r="IK21" t="e">
        <f>AND(#REF!,"AAAAAHn79fQ=")</f>
        <v>#REF!</v>
      </c>
      <c r="IL21" t="e">
        <f>AND(#REF!,"AAAAAHn79fU=")</f>
        <v>#REF!</v>
      </c>
      <c r="IM21" t="e">
        <f>AND(#REF!,"AAAAAHn79fY=")</f>
        <v>#REF!</v>
      </c>
      <c r="IN21" t="e">
        <f>AND(#REF!,"AAAAAHn79fc=")</f>
        <v>#REF!</v>
      </c>
      <c r="IO21" t="e">
        <f>AND(#REF!,"AAAAAHn79fg=")</f>
        <v>#REF!</v>
      </c>
      <c r="IP21" t="e">
        <f>AND(#REF!,"AAAAAHn79fk=")</f>
        <v>#REF!</v>
      </c>
      <c r="IQ21" t="e">
        <f>AND(#REF!,"AAAAAHn79fo=")</f>
        <v>#REF!</v>
      </c>
      <c r="IR21" t="e">
        <f>AND(#REF!,"AAAAAHn79fs=")</f>
        <v>#REF!</v>
      </c>
      <c r="IS21" t="e">
        <f>AND(#REF!,"AAAAAHn79fw=")</f>
        <v>#REF!</v>
      </c>
      <c r="IT21" t="e">
        <f>AND(#REF!,"AAAAAHn79f0=")</f>
        <v>#REF!</v>
      </c>
      <c r="IU21" t="e">
        <f>AND(#REF!,"AAAAAHn79f4=")</f>
        <v>#REF!</v>
      </c>
      <c r="IV21" t="e">
        <f>AND(#REF!,"AAAAAHn79f8=")</f>
        <v>#REF!</v>
      </c>
    </row>
    <row r="22" spans="1:256">
      <c r="A22" t="e">
        <f>AND(#REF!,"AAAAAH/j+wA=")</f>
        <v>#REF!</v>
      </c>
      <c r="B22" t="e">
        <f>AND(#REF!,"AAAAAH/j+wE=")</f>
        <v>#REF!</v>
      </c>
      <c r="C22" t="e">
        <f>AND(#REF!,"AAAAAH/j+wI=")</f>
        <v>#REF!</v>
      </c>
      <c r="D22" t="e">
        <f>AND(#REF!,"AAAAAH/j+wM=")</f>
        <v>#REF!</v>
      </c>
      <c r="E22" t="e">
        <f>AND(#REF!,"AAAAAH/j+wQ=")</f>
        <v>#REF!</v>
      </c>
      <c r="F22" t="e">
        <f>AND(#REF!,"AAAAAH/j+wU=")</f>
        <v>#REF!</v>
      </c>
      <c r="G22" t="e">
        <f>AND(#REF!,"AAAAAH/j+wY=")</f>
        <v>#REF!</v>
      </c>
      <c r="H22" t="e">
        <f>AND(#REF!,"AAAAAH/j+wc=")</f>
        <v>#REF!</v>
      </c>
      <c r="I22" t="e">
        <f>IF(#REF!,"AAAAAH/j+wg=",0)</f>
        <v>#REF!</v>
      </c>
      <c r="J22" t="e">
        <f>AND(#REF!,"AAAAAH/j+wk=")</f>
        <v>#REF!</v>
      </c>
      <c r="K22" t="e">
        <f>AND(#REF!,"AAAAAH/j+wo=")</f>
        <v>#REF!</v>
      </c>
      <c r="L22" t="e">
        <f>AND(#REF!,"AAAAAH/j+ws=")</f>
        <v>#REF!</v>
      </c>
      <c r="M22" t="e">
        <f>AND(#REF!,"AAAAAH/j+ww=")</f>
        <v>#REF!</v>
      </c>
      <c r="N22" t="e">
        <f>AND(#REF!,"AAAAAH/j+w0=")</f>
        <v>#REF!</v>
      </c>
      <c r="O22" t="e">
        <f>AND(#REF!,"AAAAAH/j+w4=")</f>
        <v>#REF!</v>
      </c>
      <c r="P22" t="e">
        <f>AND(#REF!,"AAAAAH/j+w8=")</f>
        <v>#REF!</v>
      </c>
      <c r="Q22" t="e">
        <f>AND(#REF!,"AAAAAH/j+xA=")</f>
        <v>#REF!</v>
      </c>
      <c r="R22" t="e">
        <f>AND(#REF!,"AAAAAH/j+xE=")</f>
        <v>#REF!</v>
      </c>
      <c r="S22" t="e">
        <f>AND(#REF!,"AAAAAH/j+xI=")</f>
        <v>#REF!</v>
      </c>
      <c r="T22" t="e">
        <f>AND(#REF!,"AAAAAH/j+xM=")</f>
        <v>#REF!</v>
      </c>
      <c r="U22" t="e">
        <f>AND(#REF!,"AAAAAH/j+xQ=")</f>
        <v>#REF!</v>
      </c>
      <c r="V22" t="e">
        <f>AND(#REF!,"AAAAAH/j+xU=")</f>
        <v>#REF!</v>
      </c>
      <c r="W22" t="e">
        <f>AND(#REF!,"AAAAAH/j+xY=")</f>
        <v>#REF!</v>
      </c>
      <c r="X22" t="e">
        <f>AND(#REF!,"AAAAAH/j+xc=")</f>
        <v>#REF!</v>
      </c>
      <c r="Y22" t="e">
        <f>AND(#REF!,"AAAAAH/j+xg=")</f>
        <v>#REF!</v>
      </c>
      <c r="Z22" t="e">
        <f>AND(#REF!,"AAAAAH/j+xk=")</f>
        <v>#REF!</v>
      </c>
      <c r="AA22" t="e">
        <f>AND(#REF!,"AAAAAH/j+xo=")</f>
        <v>#REF!</v>
      </c>
      <c r="AB22" t="e">
        <f>AND(#REF!,"AAAAAH/j+xs=")</f>
        <v>#REF!</v>
      </c>
      <c r="AC22" t="e">
        <f>AND(#REF!,"AAAAAH/j+xw=")</f>
        <v>#REF!</v>
      </c>
      <c r="AD22" t="e">
        <f>IF(#REF!,"AAAAAH/j+x0=",0)</f>
        <v>#REF!</v>
      </c>
      <c r="AE22" t="e">
        <f>AND(#REF!,"AAAAAH/j+x4=")</f>
        <v>#REF!</v>
      </c>
      <c r="AF22" t="e">
        <f>AND(#REF!,"AAAAAH/j+x8=")</f>
        <v>#REF!</v>
      </c>
      <c r="AG22" t="e">
        <f>AND(#REF!,"AAAAAH/j+yA=")</f>
        <v>#REF!</v>
      </c>
      <c r="AH22" t="e">
        <f>AND(#REF!,"AAAAAH/j+yE=")</f>
        <v>#REF!</v>
      </c>
      <c r="AI22" t="e">
        <f>AND(#REF!,"AAAAAH/j+yI=")</f>
        <v>#REF!</v>
      </c>
      <c r="AJ22" t="e">
        <f>AND(#REF!,"AAAAAH/j+yM=")</f>
        <v>#REF!</v>
      </c>
      <c r="AK22" t="e">
        <f>AND(#REF!,"AAAAAH/j+yQ=")</f>
        <v>#REF!</v>
      </c>
      <c r="AL22" t="e">
        <f>AND(#REF!,"AAAAAH/j+yU=")</f>
        <v>#REF!</v>
      </c>
      <c r="AM22" t="e">
        <f>AND(#REF!,"AAAAAH/j+yY=")</f>
        <v>#REF!</v>
      </c>
      <c r="AN22" t="e">
        <f>AND(#REF!,"AAAAAH/j+yc=")</f>
        <v>#REF!</v>
      </c>
      <c r="AO22" t="e">
        <f>AND(#REF!,"AAAAAH/j+yg=")</f>
        <v>#REF!</v>
      </c>
      <c r="AP22" t="e">
        <f>AND(#REF!,"AAAAAH/j+yk=")</f>
        <v>#REF!</v>
      </c>
      <c r="AQ22" t="e">
        <f>AND(#REF!,"AAAAAH/j+yo=")</f>
        <v>#REF!</v>
      </c>
      <c r="AR22" t="e">
        <f>AND(#REF!,"AAAAAH/j+ys=")</f>
        <v>#REF!</v>
      </c>
      <c r="AS22" t="e">
        <f>AND(#REF!,"AAAAAH/j+yw=")</f>
        <v>#REF!</v>
      </c>
      <c r="AT22" t="e">
        <f>AND(#REF!,"AAAAAH/j+y0=")</f>
        <v>#REF!</v>
      </c>
      <c r="AU22" t="e">
        <f>AND(#REF!,"AAAAAH/j+y4=")</f>
        <v>#REF!</v>
      </c>
      <c r="AV22" t="e">
        <f>AND(#REF!,"AAAAAH/j+y8=")</f>
        <v>#REF!</v>
      </c>
      <c r="AW22" t="e">
        <f>AND(#REF!,"AAAAAH/j+zA=")</f>
        <v>#REF!</v>
      </c>
      <c r="AX22" t="e">
        <f>AND(#REF!,"AAAAAH/j+zE=")</f>
        <v>#REF!</v>
      </c>
      <c r="AY22" t="e">
        <f>IF(#REF!,"AAAAAH/j+zI=",0)</f>
        <v>#REF!</v>
      </c>
      <c r="AZ22" t="e">
        <f>AND(#REF!,"AAAAAH/j+zM=")</f>
        <v>#REF!</v>
      </c>
      <c r="BA22" t="e">
        <f>AND(#REF!,"AAAAAH/j+zQ=")</f>
        <v>#REF!</v>
      </c>
      <c r="BB22" t="e">
        <f>AND(#REF!,"AAAAAH/j+zU=")</f>
        <v>#REF!</v>
      </c>
      <c r="BC22" t="e">
        <f>AND(#REF!,"AAAAAH/j+zY=")</f>
        <v>#REF!</v>
      </c>
      <c r="BD22" t="e">
        <f>AND(#REF!,"AAAAAH/j+zc=")</f>
        <v>#REF!</v>
      </c>
      <c r="BE22" t="e">
        <f>AND(#REF!,"AAAAAH/j+zg=")</f>
        <v>#REF!</v>
      </c>
      <c r="BF22" t="e">
        <f>AND(#REF!,"AAAAAH/j+zk=")</f>
        <v>#REF!</v>
      </c>
      <c r="BG22" t="e">
        <f>AND(#REF!,"AAAAAH/j+zo=")</f>
        <v>#REF!</v>
      </c>
      <c r="BH22" t="e">
        <f>AND(#REF!,"AAAAAH/j+zs=")</f>
        <v>#REF!</v>
      </c>
      <c r="BI22" t="e">
        <f>AND(#REF!,"AAAAAH/j+zw=")</f>
        <v>#REF!</v>
      </c>
      <c r="BJ22" t="e">
        <f>AND(#REF!,"AAAAAH/j+z0=")</f>
        <v>#REF!</v>
      </c>
      <c r="BK22" t="e">
        <f>AND(#REF!,"AAAAAH/j+z4=")</f>
        <v>#REF!</v>
      </c>
      <c r="BL22" t="e">
        <f>AND(#REF!,"AAAAAH/j+z8=")</f>
        <v>#REF!</v>
      </c>
      <c r="BM22" t="e">
        <f>AND(#REF!,"AAAAAH/j+0A=")</f>
        <v>#REF!</v>
      </c>
      <c r="BN22" t="e">
        <f>AND(#REF!,"AAAAAH/j+0E=")</f>
        <v>#REF!</v>
      </c>
      <c r="BO22" t="e">
        <f>AND(#REF!,"AAAAAH/j+0I=")</f>
        <v>#REF!</v>
      </c>
      <c r="BP22" t="e">
        <f>AND(#REF!,"AAAAAH/j+0M=")</f>
        <v>#REF!</v>
      </c>
      <c r="BQ22" t="e">
        <f>AND(#REF!,"AAAAAH/j+0Q=")</f>
        <v>#REF!</v>
      </c>
      <c r="BR22" t="e">
        <f>AND(#REF!,"AAAAAH/j+0U=")</f>
        <v>#REF!</v>
      </c>
      <c r="BS22" t="e">
        <f>AND(#REF!,"AAAAAH/j+0Y=")</f>
        <v>#REF!</v>
      </c>
      <c r="BT22" t="e">
        <f>IF(#REF!,"AAAAAH/j+0c=",0)</f>
        <v>#REF!</v>
      </c>
      <c r="BU22" t="e">
        <f>AND(#REF!,"AAAAAH/j+0g=")</f>
        <v>#REF!</v>
      </c>
      <c r="BV22" t="e">
        <f>AND(#REF!,"AAAAAH/j+0k=")</f>
        <v>#REF!</v>
      </c>
      <c r="BW22" t="e">
        <f>AND(#REF!,"AAAAAH/j+0o=")</f>
        <v>#REF!</v>
      </c>
      <c r="BX22" t="e">
        <f>AND(#REF!,"AAAAAH/j+0s=")</f>
        <v>#REF!</v>
      </c>
      <c r="BY22" t="e">
        <f>AND(#REF!,"AAAAAH/j+0w=")</f>
        <v>#REF!</v>
      </c>
      <c r="BZ22" t="e">
        <f>AND(#REF!,"AAAAAH/j+00=")</f>
        <v>#REF!</v>
      </c>
      <c r="CA22" t="e">
        <f>AND(#REF!,"AAAAAH/j+04=")</f>
        <v>#REF!</v>
      </c>
      <c r="CB22" t="e">
        <f>AND(#REF!,"AAAAAH/j+08=")</f>
        <v>#REF!</v>
      </c>
      <c r="CC22" t="e">
        <f>AND(#REF!,"AAAAAH/j+1A=")</f>
        <v>#REF!</v>
      </c>
      <c r="CD22" t="e">
        <f>AND(#REF!,"AAAAAH/j+1E=")</f>
        <v>#REF!</v>
      </c>
      <c r="CE22" t="e">
        <f>AND(#REF!,"AAAAAH/j+1I=")</f>
        <v>#REF!</v>
      </c>
      <c r="CF22" t="e">
        <f>AND(#REF!,"AAAAAH/j+1M=")</f>
        <v>#REF!</v>
      </c>
      <c r="CG22" t="e">
        <f>AND(#REF!,"AAAAAH/j+1Q=")</f>
        <v>#REF!</v>
      </c>
      <c r="CH22" t="e">
        <f>AND(#REF!,"AAAAAH/j+1U=")</f>
        <v>#REF!</v>
      </c>
      <c r="CI22" t="e">
        <f>AND(#REF!,"AAAAAH/j+1Y=")</f>
        <v>#REF!</v>
      </c>
      <c r="CJ22" t="e">
        <f>AND(#REF!,"AAAAAH/j+1c=")</f>
        <v>#REF!</v>
      </c>
      <c r="CK22" t="e">
        <f>AND(#REF!,"AAAAAH/j+1g=")</f>
        <v>#REF!</v>
      </c>
      <c r="CL22" t="e">
        <f>AND(#REF!,"AAAAAH/j+1k=")</f>
        <v>#REF!</v>
      </c>
      <c r="CM22" t="e">
        <f>AND(#REF!,"AAAAAH/j+1o=")</f>
        <v>#REF!</v>
      </c>
      <c r="CN22" t="e">
        <f>AND(#REF!,"AAAAAH/j+1s=")</f>
        <v>#REF!</v>
      </c>
      <c r="CO22" t="e">
        <f>IF(#REF!,"AAAAAH/j+1w=",0)</f>
        <v>#REF!</v>
      </c>
      <c r="CP22" t="e">
        <f>AND(#REF!,"AAAAAH/j+10=")</f>
        <v>#REF!</v>
      </c>
      <c r="CQ22" t="e">
        <f>AND(#REF!,"AAAAAH/j+14=")</f>
        <v>#REF!</v>
      </c>
      <c r="CR22" t="e">
        <f>AND(#REF!,"AAAAAH/j+18=")</f>
        <v>#REF!</v>
      </c>
      <c r="CS22" t="e">
        <f>AND(#REF!,"AAAAAH/j+2A=")</f>
        <v>#REF!</v>
      </c>
      <c r="CT22" t="e">
        <f>AND(#REF!,"AAAAAH/j+2E=")</f>
        <v>#REF!</v>
      </c>
      <c r="CU22" t="e">
        <f>AND(#REF!,"AAAAAH/j+2I=")</f>
        <v>#REF!</v>
      </c>
      <c r="CV22" t="e">
        <f>AND(#REF!,"AAAAAH/j+2M=")</f>
        <v>#REF!</v>
      </c>
      <c r="CW22" t="e">
        <f>AND(#REF!,"AAAAAH/j+2Q=")</f>
        <v>#REF!</v>
      </c>
      <c r="CX22" t="e">
        <f>AND(#REF!,"AAAAAH/j+2U=")</f>
        <v>#REF!</v>
      </c>
      <c r="CY22" t="e">
        <f>AND(#REF!,"AAAAAH/j+2Y=")</f>
        <v>#REF!</v>
      </c>
      <c r="CZ22" t="e">
        <f>AND(#REF!,"AAAAAH/j+2c=")</f>
        <v>#REF!</v>
      </c>
      <c r="DA22" t="e">
        <f>AND(#REF!,"AAAAAH/j+2g=")</f>
        <v>#REF!</v>
      </c>
      <c r="DB22" t="e">
        <f>AND(#REF!,"AAAAAH/j+2k=")</f>
        <v>#REF!</v>
      </c>
      <c r="DC22" t="e">
        <f>AND(#REF!,"AAAAAH/j+2o=")</f>
        <v>#REF!</v>
      </c>
      <c r="DD22" t="e">
        <f>AND(#REF!,"AAAAAH/j+2s=")</f>
        <v>#REF!</v>
      </c>
      <c r="DE22" t="e">
        <f>AND(#REF!,"AAAAAH/j+2w=")</f>
        <v>#REF!</v>
      </c>
      <c r="DF22" t="e">
        <f>AND(#REF!,"AAAAAH/j+20=")</f>
        <v>#REF!</v>
      </c>
      <c r="DG22" t="e">
        <f>AND(#REF!,"AAAAAH/j+24=")</f>
        <v>#REF!</v>
      </c>
      <c r="DH22" t="e">
        <f>AND(#REF!,"AAAAAH/j+28=")</f>
        <v>#REF!</v>
      </c>
      <c r="DI22" t="e">
        <f>AND(#REF!,"AAAAAH/j+3A=")</f>
        <v>#REF!</v>
      </c>
      <c r="DJ22" t="e">
        <f>IF(#REF!,"AAAAAH/j+3E=",0)</f>
        <v>#REF!</v>
      </c>
      <c r="DK22" t="e">
        <f>AND(#REF!,"AAAAAH/j+3I=")</f>
        <v>#REF!</v>
      </c>
      <c r="DL22" t="e">
        <f>AND(#REF!,"AAAAAH/j+3M=")</f>
        <v>#REF!</v>
      </c>
      <c r="DM22" t="e">
        <f>AND(#REF!,"AAAAAH/j+3Q=")</f>
        <v>#REF!</v>
      </c>
      <c r="DN22" t="e">
        <f>AND(#REF!,"AAAAAH/j+3U=")</f>
        <v>#REF!</v>
      </c>
      <c r="DO22" t="e">
        <f>AND(#REF!,"AAAAAH/j+3Y=")</f>
        <v>#REF!</v>
      </c>
      <c r="DP22" t="e">
        <f>AND(#REF!,"AAAAAH/j+3c=")</f>
        <v>#REF!</v>
      </c>
      <c r="DQ22" t="e">
        <f>AND(#REF!,"AAAAAH/j+3g=")</f>
        <v>#REF!</v>
      </c>
      <c r="DR22" t="e">
        <f>AND(#REF!,"AAAAAH/j+3k=")</f>
        <v>#REF!</v>
      </c>
      <c r="DS22" t="e">
        <f>AND(#REF!,"AAAAAH/j+3o=")</f>
        <v>#REF!</v>
      </c>
      <c r="DT22" t="e">
        <f>AND(#REF!,"AAAAAH/j+3s=")</f>
        <v>#REF!</v>
      </c>
      <c r="DU22" t="e">
        <f>AND(#REF!,"AAAAAH/j+3w=")</f>
        <v>#REF!</v>
      </c>
      <c r="DV22" t="e">
        <f>AND(#REF!,"AAAAAH/j+30=")</f>
        <v>#REF!</v>
      </c>
      <c r="DW22" t="e">
        <f>AND(#REF!,"AAAAAH/j+34=")</f>
        <v>#REF!</v>
      </c>
      <c r="DX22" t="e">
        <f>AND(#REF!,"AAAAAH/j+38=")</f>
        <v>#REF!</v>
      </c>
      <c r="DY22" t="e">
        <f>AND(#REF!,"AAAAAH/j+4A=")</f>
        <v>#REF!</v>
      </c>
      <c r="DZ22" t="e">
        <f>AND(#REF!,"AAAAAH/j+4E=")</f>
        <v>#REF!</v>
      </c>
      <c r="EA22" t="e">
        <f>AND(#REF!,"AAAAAH/j+4I=")</f>
        <v>#REF!</v>
      </c>
      <c r="EB22" t="e">
        <f>AND(#REF!,"AAAAAH/j+4M=")</f>
        <v>#REF!</v>
      </c>
      <c r="EC22" t="e">
        <f>AND(#REF!,"AAAAAH/j+4Q=")</f>
        <v>#REF!</v>
      </c>
      <c r="ED22" t="e">
        <f>AND(#REF!,"AAAAAH/j+4U=")</f>
        <v>#REF!</v>
      </c>
      <c r="EE22" t="e">
        <f>IF(#REF!,"AAAAAH/j+4Y=",0)</f>
        <v>#REF!</v>
      </c>
      <c r="EF22" t="e">
        <f>AND(#REF!,"AAAAAH/j+4c=")</f>
        <v>#REF!</v>
      </c>
      <c r="EG22" t="e">
        <f>AND(#REF!,"AAAAAH/j+4g=")</f>
        <v>#REF!</v>
      </c>
      <c r="EH22" t="e">
        <f>AND(#REF!,"AAAAAH/j+4k=")</f>
        <v>#REF!</v>
      </c>
      <c r="EI22" t="e">
        <f>AND(#REF!,"AAAAAH/j+4o=")</f>
        <v>#REF!</v>
      </c>
      <c r="EJ22" t="e">
        <f>AND(#REF!,"AAAAAH/j+4s=")</f>
        <v>#REF!</v>
      </c>
      <c r="EK22" t="e">
        <f>AND(#REF!,"AAAAAH/j+4w=")</f>
        <v>#REF!</v>
      </c>
      <c r="EL22" t="e">
        <f>AND(#REF!,"AAAAAH/j+40=")</f>
        <v>#REF!</v>
      </c>
      <c r="EM22" t="e">
        <f>AND(#REF!,"AAAAAH/j+44=")</f>
        <v>#REF!</v>
      </c>
      <c r="EN22" t="e">
        <f>AND(#REF!,"AAAAAH/j+48=")</f>
        <v>#REF!</v>
      </c>
      <c r="EO22" t="e">
        <f>AND(#REF!,"AAAAAH/j+5A=")</f>
        <v>#REF!</v>
      </c>
      <c r="EP22" t="e">
        <f>AND(#REF!,"AAAAAH/j+5E=")</f>
        <v>#REF!</v>
      </c>
      <c r="EQ22" t="e">
        <f>AND(#REF!,"AAAAAH/j+5I=")</f>
        <v>#REF!</v>
      </c>
      <c r="ER22" t="e">
        <f>AND(#REF!,"AAAAAH/j+5M=")</f>
        <v>#REF!</v>
      </c>
      <c r="ES22" t="e">
        <f>AND(#REF!,"AAAAAH/j+5Q=")</f>
        <v>#REF!</v>
      </c>
      <c r="ET22" t="e">
        <f>AND(#REF!,"AAAAAH/j+5U=")</f>
        <v>#REF!</v>
      </c>
      <c r="EU22" t="e">
        <f>AND(#REF!,"AAAAAH/j+5Y=")</f>
        <v>#REF!</v>
      </c>
      <c r="EV22" t="e">
        <f>AND(#REF!,"AAAAAH/j+5c=")</f>
        <v>#REF!</v>
      </c>
      <c r="EW22" t="e">
        <f>AND(#REF!,"AAAAAH/j+5g=")</f>
        <v>#REF!</v>
      </c>
      <c r="EX22" t="e">
        <f>AND(#REF!,"AAAAAH/j+5k=")</f>
        <v>#REF!</v>
      </c>
      <c r="EY22" t="e">
        <f>AND(#REF!,"AAAAAH/j+5o=")</f>
        <v>#REF!</v>
      </c>
      <c r="EZ22" t="e">
        <f>IF(#REF!,"AAAAAH/j+5s=",0)</f>
        <v>#REF!</v>
      </c>
      <c r="FA22" t="e">
        <f>AND(#REF!,"AAAAAH/j+5w=")</f>
        <v>#REF!</v>
      </c>
      <c r="FB22" t="e">
        <f>AND(#REF!,"AAAAAH/j+50=")</f>
        <v>#REF!</v>
      </c>
      <c r="FC22" t="e">
        <f>AND(#REF!,"AAAAAH/j+54=")</f>
        <v>#REF!</v>
      </c>
      <c r="FD22" t="e">
        <f>AND(#REF!,"AAAAAH/j+58=")</f>
        <v>#REF!</v>
      </c>
      <c r="FE22" t="e">
        <f>AND(#REF!,"AAAAAH/j+6A=")</f>
        <v>#REF!</v>
      </c>
      <c r="FF22" t="e">
        <f>AND(#REF!,"AAAAAH/j+6E=")</f>
        <v>#REF!</v>
      </c>
      <c r="FG22" t="e">
        <f>AND(#REF!,"AAAAAH/j+6I=")</f>
        <v>#REF!</v>
      </c>
      <c r="FH22" t="e">
        <f>AND(#REF!,"AAAAAH/j+6M=")</f>
        <v>#REF!</v>
      </c>
      <c r="FI22" t="e">
        <f>AND(#REF!,"AAAAAH/j+6Q=")</f>
        <v>#REF!</v>
      </c>
      <c r="FJ22" t="e">
        <f>AND(#REF!,"AAAAAH/j+6U=")</f>
        <v>#REF!</v>
      </c>
      <c r="FK22" t="e">
        <f>AND(#REF!,"AAAAAH/j+6Y=")</f>
        <v>#REF!</v>
      </c>
      <c r="FL22" t="e">
        <f>AND(#REF!,"AAAAAH/j+6c=")</f>
        <v>#REF!</v>
      </c>
      <c r="FM22" t="e">
        <f>AND(#REF!,"AAAAAH/j+6g=")</f>
        <v>#REF!</v>
      </c>
      <c r="FN22" t="e">
        <f>AND(#REF!,"AAAAAH/j+6k=")</f>
        <v>#REF!</v>
      </c>
      <c r="FO22" t="e">
        <f>AND(#REF!,"AAAAAH/j+6o=")</f>
        <v>#REF!</v>
      </c>
      <c r="FP22" t="e">
        <f>AND(#REF!,"AAAAAH/j+6s=")</f>
        <v>#REF!</v>
      </c>
      <c r="FQ22" t="e">
        <f>AND(#REF!,"AAAAAH/j+6w=")</f>
        <v>#REF!</v>
      </c>
      <c r="FR22" t="e">
        <f>AND(#REF!,"AAAAAH/j+60=")</f>
        <v>#REF!</v>
      </c>
      <c r="FS22" t="e">
        <f>AND(#REF!,"AAAAAH/j+64=")</f>
        <v>#REF!</v>
      </c>
      <c r="FT22" t="e">
        <f>AND(#REF!,"AAAAAH/j+68=")</f>
        <v>#REF!</v>
      </c>
      <c r="FU22" t="e">
        <f>IF(#REF!,"AAAAAH/j+7A=",0)</f>
        <v>#REF!</v>
      </c>
      <c r="FV22" t="e">
        <f>AND(#REF!,"AAAAAH/j+7E=")</f>
        <v>#REF!</v>
      </c>
      <c r="FW22" t="e">
        <f>AND(#REF!,"AAAAAH/j+7I=")</f>
        <v>#REF!</v>
      </c>
      <c r="FX22" t="e">
        <f>AND(#REF!,"AAAAAH/j+7M=")</f>
        <v>#REF!</v>
      </c>
      <c r="FY22" t="e">
        <f>AND(#REF!,"AAAAAH/j+7Q=")</f>
        <v>#REF!</v>
      </c>
      <c r="FZ22" t="e">
        <f>AND(#REF!,"AAAAAH/j+7U=")</f>
        <v>#REF!</v>
      </c>
      <c r="GA22" t="e">
        <f>AND(#REF!,"AAAAAH/j+7Y=")</f>
        <v>#REF!</v>
      </c>
      <c r="GB22" t="e">
        <f>AND(#REF!,"AAAAAH/j+7c=")</f>
        <v>#REF!</v>
      </c>
      <c r="GC22" t="e">
        <f>AND(#REF!,"AAAAAH/j+7g=")</f>
        <v>#REF!</v>
      </c>
      <c r="GD22" t="e">
        <f>AND(#REF!,"AAAAAH/j+7k=")</f>
        <v>#REF!</v>
      </c>
      <c r="GE22" t="e">
        <f>AND(#REF!,"AAAAAH/j+7o=")</f>
        <v>#REF!</v>
      </c>
      <c r="GF22" t="e">
        <f>AND(#REF!,"AAAAAH/j+7s=")</f>
        <v>#REF!</v>
      </c>
      <c r="GG22" t="e">
        <f>AND(#REF!,"AAAAAH/j+7w=")</f>
        <v>#REF!</v>
      </c>
      <c r="GH22" t="e">
        <f>AND(#REF!,"AAAAAH/j+70=")</f>
        <v>#REF!</v>
      </c>
      <c r="GI22" t="e">
        <f>AND(#REF!,"AAAAAH/j+74=")</f>
        <v>#REF!</v>
      </c>
      <c r="GJ22" t="e">
        <f>AND(#REF!,"AAAAAH/j+78=")</f>
        <v>#REF!</v>
      </c>
      <c r="GK22" t="e">
        <f>AND(#REF!,"AAAAAH/j+8A=")</f>
        <v>#REF!</v>
      </c>
      <c r="GL22" t="e">
        <f>AND(#REF!,"AAAAAH/j+8E=")</f>
        <v>#REF!</v>
      </c>
      <c r="GM22" t="e">
        <f>AND(#REF!,"AAAAAH/j+8I=")</f>
        <v>#REF!</v>
      </c>
      <c r="GN22" t="e">
        <f>AND(#REF!,"AAAAAH/j+8M=")</f>
        <v>#REF!</v>
      </c>
      <c r="GO22" t="e">
        <f>AND(#REF!,"AAAAAH/j+8Q=")</f>
        <v>#REF!</v>
      </c>
      <c r="GP22" t="e">
        <f>IF(#REF!,"AAAAAH/j+8U=",0)</f>
        <v>#REF!</v>
      </c>
      <c r="GQ22" t="e">
        <f>AND(#REF!,"AAAAAH/j+8Y=")</f>
        <v>#REF!</v>
      </c>
      <c r="GR22" t="e">
        <f>AND(#REF!,"AAAAAH/j+8c=")</f>
        <v>#REF!</v>
      </c>
      <c r="GS22" t="e">
        <f>AND(#REF!,"AAAAAH/j+8g=")</f>
        <v>#REF!</v>
      </c>
      <c r="GT22" t="e">
        <f>AND(#REF!,"AAAAAH/j+8k=")</f>
        <v>#REF!</v>
      </c>
      <c r="GU22" t="e">
        <f>AND(#REF!,"AAAAAH/j+8o=")</f>
        <v>#REF!</v>
      </c>
      <c r="GV22" t="e">
        <f>AND(#REF!,"AAAAAH/j+8s=")</f>
        <v>#REF!</v>
      </c>
      <c r="GW22" t="e">
        <f>AND(#REF!,"AAAAAH/j+8w=")</f>
        <v>#REF!</v>
      </c>
      <c r="GX22" t="e">
        <f>AND(#REF!,"AAAAAH/j+80=")</f>
        <v>#REF!</v>
      </c>
      <c r="GY22" t="e">
        <f>AND(#REF!,"AAAAAH/j+84=")</f>
        <v>#REF!</v>
      </c>
      <c r="GZ22" t="e">
        <f>AND(#REF!,"AAAAAH/j+88=")</f>
        <v>#REF!</v>
      </c>
      <c r="HA22" t="e">
        <f>AND(#REF!,"AAAAAH/j+9A=")</f>
        <v>#REF!</v>
      </c>
      <c r="HB22" t="e">
        <f>AND(#REF!,"AAAAAH/j+9E=")</f>
        <v>#REF!</v>
      </c>
      <c r="HC22" t="e">
        <f>AND(#REF!,"AAAAAH/j+9I=")</f>
        <v>#REF!</v>
      </c>
      <c r="HD22" t="e">
        <f>AND(#REF!,"AAAAAH/j+9M=")</f>
        <v>#REF!</v>
      </c>
      <c r="HE22" t="e">
        <f>AND(#REF!,"AAAAAH/j+9Q=")</f>
        <v>#REF!</v>
      </c>
      <c r="HF22" t="e">
        <f>AND(#REF!,"AAAAAH/j+9U=")</f>
        <v>#REF!</v>
      </c>
      <c r="HG22" t="e">
        <f>AND(#REF!,"AAAAAH/j+9Y=")</f>
        <v>#REF!</v>
      </c>
      <c r="HH22" t="e">
        <f>AND(#REF!,"AAAAAH/j+9c=")</f>
        <v>#REF!</v>
      </c>
      <c r="HI22" t="e">
        <f>AND(#REF!,"AAAAAH/j+9g=")</f>
        <v>#REF!</v>
      </c>
      <c r="HJ22" t="e">
        <f>AND(#REF!,"AAAAAH/j+9k=")</f>
        <v>#REF!</v>
      </c>
      <c r="HK22" t="e">
        <f>IF(#REF!,"AAAAAH/j+9o=",0)</f>
        <v>#REF!</v>
      </c>
      <c r="HL22" t="e">
        <f>AND(#REF!,"AAAAAH/j+9s=")</f>
        <v>#REF!</v>
      </c>
      <c r="HM22" t="e">
        <f>AND(#REF!,"AAAAAH/j+9w=")</f>
        <v>#REF!</v>
      </c>
      <c r="HN22" t="e">
        <f>AND(#REF!,"AAAAAH/j+90=")</f>
        <v>#REF!</v>
      </c>
      <c r="HO22" t="e">
        <f>AND(#REF!,"AAAAAH/j+94=")</f>
        <v>#REF!</v>
      </c>
      <c r="HP22" t="e">
        <f>AND(#REF!,"AAAAAH/j+98=")</f>
        <v>#REF!</v>
      </c>
      <c r="HQ22" t="e">
        <f>AND(#REF!,"AAAAAH/j++A=")</f>
        <v>#REF!</v>
      </c>
      <c r="HR22" t="e">
        <f>AND(#REF!,"AAAAAH/j++E=")</f>
        <v>#REF!</v>
      </c>
      <c r="HS22" t="e">
        <f>AND(#REF!,"AAAAAH/j++I=")</f>
        <v>#REF!</v>
      </c>
      <c r="HT22" t="e">
        <f>AND(#REF!,"AAAAAH/j++M=")</f>
        <v>#REF!</v>
      </c>
      <c r="HU22" t="e">
        <f>AND(#REF!,"AAAAAH/j++Q=")</f>
        <v>#REF!</v>
      </c>
      <c r="HV22" t="e">
        <f>AND(#REF!,"AAAAAH/j++U=")</f>
        <v>#REF!</v>
      </c>
      <c r="HW22" t="e">
        <f>AND(#REF!,"AAAAAH/j++Y=")</f>
        <v>#REF!</v>
      </c>
      <c r="HX22" t="e">
        <f>AND(#REF!,"AAAAAH/j++c=")</f>
        <v>#REF!</v>
      </c>
      <c r="HY22" t="e">
        <f>AND(#REF!,"AAAAAH/j++g=")</f>
        <v>#REF!</v>
      </c>
      <c r="HZ22" t="e">
        <f>AND(#REF!,"AAAAAH/j++k=")</f>
        <v>#REF!</v>
      </c>
      <c r="IA22" t="e">
        <f>AND(#REF!,"AAAAAH/j++o=")</f>
        <v>#REF!</v>
      </c>
      <c r="IB22" t="e">
        <f>AND(#REF!,"AAAAAH/j++s=")</f>
        <v>#REF!</v>
      </c>
      <c r="IC22" t="e">
        <f>AND(#REF!,"AAAAAH/j++w=")</f>
        <v>#REF!</v>
      </c>
      <c r="ID22" t="e">
        <f>AND(#REF!,"AAAAAH/j++0=")</f>
        <v>#REF!</v>
      </c>
      <c r="IE22" t="e">
        <f>AND(#REF!,"AAAAAH/j++4=")</f>
        <v>#REF!</v>
      </c>
      <c r="IF22" t="e">
        <f>IF(#REF!,"AAAAAH/j++8=",0)</f>
        <v>#REF!</v>
      </c>
      <c r="IG22" t="e">
        <f>AND(#REF!,"AAAAAH/j+/A=")</f>
        <v>#REF!</v>
      </c>
      <c r="IH22" t="e">
        <f>AND(#REF!,"AAAAAH/j+/E=")</f>
        <v>#REF!</v>
      </c>
      <c r="II22" t="e">
        <f>AND(#REF!,"AAAAAH/j+/I=")</f>
        <v>#REF!</v>
      </c>
      <c r="IJ22" t="e">
        <f>AND(#REF!,"AAAAAH/j+/M=")</f>
        <v>#REF!</v>
      </c>
      <c r="IK22" t="e">
        <f>AND(#REF!,"AAAAAH/j+/Q=")</f>
        <v>#REF!</v>
      </c>
      <c r="IL22" t="e">
        <f>AND(#REF!,"AAAAAH/j+/U=")</f>
        <v>#REF!</v>
      </c>
      <c r="IM22" t="e">
        <f>AND(#REF!,"AAAAAH/j+/Y=")</f>
        <v>#REF!</v>
      </c>
      <c r="IN22" t="e">
        <f>AND(#REF!,"AAAAAH/j+/c=")</f>
        <v>#REF!</v>
      </c>
      <c r="IO22" t="e">
        <f>AND(#REF!,"AAAAAH/j+/g=")</f>
        <v>#REF!</v>
      </c>
      <c r="IP22" t="e">
        <f>AND(#REF!,"AAAAAH/j+/k=")</f>
        <v>#REF!</v>
      </c>
      <c r="IQ22" t="e">
        <f>AND(#REF!,"AAAAAH/j+/o=")</f>
        <v>#REF!</v>
      </c>
      <c r="IR22" t="e">
        <f>AND(#REF!,"AAAAAH/j+/s=")</f>
        <v>#REF!</v>
      </c>
      <c r="IS22" t="e">
        <f>AND(#REF!,"AAAAAH/j+/w=")</f>
        <v>#REF!</v>
      </c>
      <c r="IT22" t="e">
        <f>AND(#REF!,"AAAAAH/j+/0=")</f>
        <v>#REF!</v>
      </c>
      <c r="IU22" t="e">
        <f>AND(#REF!,"AAAAAH/j+/4=")</f>
        <v>#REF!</v>
      </c>
      <c r="IV22" t="e">
        <f>AND(#REF!,"AAAAAH/j+/8=")</f>
        <v>#REF!</v>
      </c>
    </row>
    <row r="23" spans="1:256">
      <c r="A23" t="e">
        <f>AND(#REF!,"AAAAAH/v5wA=")</f>
        <v>#REF!</v>
      </c>
      <c r="B23" t="e">
        <f>AND(#REF!,"AAAAAH/v5wE=")</f>
        <v>#REF!</v>
      </c>
      <c r="C23" t="e">
        <f>AND(#REF!,"AAAAAH/v5wI=")</f>
        <v>#REF!</v>
      </c>
      <c r="D23" t="e">
        <f>AND(#REF!,"AAAAAH/v5wM=")</f>
        <v>#REF!</v>
      </c>
      <c r="E23" t="e">
        <f>IF(#REF!,"AAAAAH/v5wQ=",0)</f>
        <v>#REF!</v>
      </c>
      <c r="F23" t="e">
        <f>AND(#REF!,"AAAAAH/v5wU=")</f>
        <v>#REF!</v>
      </c>
      <c r="G23" t="e">
        <f>AND(#REF!,"AAAAAH/v5wY=")</f>
        <v>#REF!</v>
      </c>
      <c r="H23" t="e">
        <f>AND(#REF!,"AAAAAH/v5wc=")</f>
        <v>#REF!</v>
      </c>
      <c r="I23" t="e">
        <f>AND(#REF!,"AAAAAH/v5wg=")</f>
        <v>#REF!</v>
      </c>
      <c r="J23" t="e">
        <f>AND(#REF!,"AAAAAH/v5wk=")</f>
        <v>#REF!</v>
      </c>
      <c r="K23" t="e">
        <f>AND(#REF!,"AAAAAH/v5wo=")</f>
        <v>#REF!</v>
      </c>
      <c r="L23" t="e">
        <f>AND(#REF!,"AAAAAH/v5ws=")</f>
        <v>#REF!</v>
      </c>
      <c r="M23" t="e">
        <f>AND(#REF!,"AAAAAH/v5ww=")</f>
        <v>#REF!</v>
      </c>
      <c r="N23" t="e">
        <f>AND(#REF!,"AAAAAH/v5w0=")</f>
        <v>#REF!</v>
      </c>
      <c r="O23" t="e">
        <f>AND(#REF!,"AAAAAH/v5w4=")</f>
        <v>#REF!</v>
      </c>
      <c r="P23" t="e">
        <f>AND(#REF!,"AAAAAH/v5w8=")</f>
        <v>#REF!</v>
      </c>
      <c r="Q23" t="e">
        <f>AND(#REF!,"AAAAAH/v5xA=")</f>
        <v>#REF!</v>
      </c>
      <c r="R23" t="e">
        <f>AND(#REF!,"AAAAAH/v5xE=")</f>
        <v>#REF!</v>
      </c>
      <c r="S23" t="e">
        <f>AND(#REF!,"AAAAAH/v5xI=")</f>
        <v>#REF!</v>
      </c>
      <c r="T23" t="e">
        <f>AND(#REF!,"AAAAAH/v5xM=")</f>
        <v>#REF!</v>
      </c>
      <c r="U23" t="e">
        <f>AND(#REF!,"AAAAAH/v5xQ=")</f>
        <v>#REF!</v>
      </c>
      <c r="V23" t="e">
        <f>AND(#REF!,"AAAAAH/v5xU=")</f>
        <v>#REF!</v>
      </c>
      <c r="W23" t="e">
        <f>AND(#REF!,"AAAAAH/v5xY=")</f>
        <v>#REF!</v>
      </c>
      <c r="X23" t="e">
        <f>AND(#REF!,"AAAAAH/v5xc=")</f>
        <v>#REF!</v>
      </c>
      <c r="Y23" t="e">
        <f>AND(#REF!,"AAAAAH/v5xg=")</f>
        <v>#REF!</v>
      </c>
      <c r="Z23" t="e">
        <f>IF(#REF!,"AAAAAH/v5xk=",0)</f>
        <v>#REF!</v>
      </c>
      <c r="AA23" t="e">
        <f>AND(#REF!,"AAAAAH/v5xo=")</f>
        <v>#REF!</v>
      </c>
      <c r="AB23" t="e">
        <f>AND(#REF!,"AAAAAH/v5xs=")</f>
        <v>#REF!</v>
      </c>
      <c r="AC23" t="e">
        <f>AND(#REF!,"AAAAAH/v5xw=")</f>
        <v>#REF!</v>
      </c>
      <c r="AD23" t="e">
        <f>AND(#REF!,"AAAAAH/v5x0=")</f>
        <v>#REF!</v>
      </c>
      <c r="AE23" t="e">
        <f>AND(#REF!,"AAAAAH/v5x4=")</f>
        <v>#REF!</v>
      </c>
      <c r="AF23" t="e">
        <f>AND(#REF!,"AAAAAH/v5x8=")</f>
        <v>#REF!</v>
      </c>
      <c r="AG23" t="e">
        <f>AND(#REF!,"AAAAAH/v5yA=")</f>
        <v>#REF!</v>
      </c>
      <c r="AH23" t="e">
        <f>AND(#REF!,"AAAAAH/v5yE=")</f>
        <v>#REF!</v>
      </c>
      <c r="AI23" t="e">
        <f>AND(#REF!,"AAAAAH/v5yI=")</f>
        <v>#REF!</v>
      </c>
      <c r="AJ23" t="e">
        <f>AND(#REF!,"AAAAAH/v5yM=")</f>
        <v>#REF!</v>
      </c>
      <c r="AK23" t="e">
        <f>AND(#REF!,"AAAAAH/v5yQ=")</f>
        <v>#REF!</v>
      </c>
      <c r="AL23" t="e">
        <f>AND(#REF!,"AAAAAH/v5yU=")</f>
        <v>#REF!</v>
      </c>
      <c r="AM23" t="e">
        <f>AND(#REF!,"AAAAAH/v5yY=")</f>
        <v>#REF!</v>
      </c>
      <c r="AN23" t="e">
        <f>AND(#REF!,"AAAAAH/v5yc=")</f>
        <v>#REF!</v>
      </c>
      <c r="AO23" t="e">
        <f>AND(#REF!,"AAAAAH/v5yg=")</f>
        <v>#REF!</v>
      </c>
      <c r="AP23" t="e">
        <f>AND(#REF!,"AAAAAH/v5yk=")</f>
        <v>#REF!</v>
      </c>
      <c r="AQ23" t="e">
        <f>AND(#REF!,"AAAAAH/v5yo=")</f>
        <v>#REF!</v>
      </c>
      <c r="AR23" t="e">
        <f>AND(#REF!,"AAAAAH/v5ys=")</f>
        <v>#REF!</v>
      </c>
      <c r="AS23" t="e">
        <f>AND(#REF!,"AAAAAH/v5yw=")</f>
        <v>#REF!</v>
      </c>
      <c r="AT23" t="e">
        <f>AND(#REF!,"AAAAAH/v5y0=")</f>
        <v>#REF!</v>
      </c>
      <c r="AU23" t="e">
        <f>IF(#REF!,"AAAAAH/v5y4=",0)</f>
        <v>#REF!</v>
      </c>
      <c r="AV23" t="e">
        <f>AND(#REF!,"AAAAAH/v5y8=")</f>
        <v>#REF!</v>
      </c>
      <c r="AW23" t="e">
        <f>AND(#REF!,"AAAAAH/v5zA=")</f>
        <v>#REF!</v>
      </c>
      <c r="AX23" t="e">
        <f>AND(#REF!,"AAAAAH/v5zE=")</f>
        <v>#REF!</v>
      </c>
      <c r="AY23" t="e">
        <f>AND(#REF!,"AAAAAH/v5zI=")</f>
        <v>#REF!</v>
      </c>
      <c r="AZ23" t="e">
        <f>AND(#REF!,"AAAAAH/v5zM=")</f>
        <v>#REF!</v>
      </c>
      <c r="BA23" t="e">
        <f>AND(#REF!,"AAAAAH/v5zQ=")</f>
        <v>#REF!</v>
      </c>
      <c r="BB23" t="e">
        <f>AND(#REF!,"AAAAAH/v5zU=")</f>
        <v>#REF!</v>
      </c>
      <c r="BC23" t="e">
        <f>AND(#REF!,"AAAAAH/v5zY=")</f>
        <v>#REF!</v>
      </c>
      <c r="BD23" t="e">
        <f>AND(#REF!,"AAAAAH/v5zc=")</f>
        <v>#REF!</v>
      </c>
      <c r="BE23" t="e">
        <f>AND(#REF!,"AAAAAH/v5zg=")</f>
        <v>#REF!</v>
      </c>
      <c r="BF23" t="e">
        <f>AND(#REF!,"AAAAAH/v5zk=")</f>
        <v>#REF!</v>
      </c>
      <c r="BG23" t="e">
        <f>AND(#REF!,"AAAAAH/v5zo=")</f>
        <v>#REF!</v>
      </c>
      <c r="BH23" t="e">
        <f>AND(#REF!,"AAAAAH/v5zs=")</f>
        <v>#REF!</v>
      </c>
      <c r="BI23" t="e">
        <f>AND(#REF!,"AAAAAH/v5zw=")</f>
        <v>#REF!</v>
      </c>
      <c r="BJ23" t="e">
        <f>AND(#REF!,"AAAAAH/v5z0=")</f>
        <v>#REF!</v>
      </c>
      <c r="BK23" t="e">
        <f>AND(#REF!,"AAAAAH/v5z4=")</f>
        <v>#REF!</v>
      </c>
      <c r="BL23" t="e">
        <f>AND(#REF!,"AAAAAH/v5z8=")</f>
        <v>#REF!</v>
      </c>
      <c r="BM23" t="e">
        <f>AND(#REF!,"AAAAAH/v50A=")</f>
        <v>#REF!</v>
      </c>
      <c r="BN23" t="e">
        <f>AND(#REF!,"AAAAAH/v50E=")</f>
        <v>#REF!</v>
      </c>
      <c r="BO23" t="e">
        <f>AND(#REF!,"AAAAAH/v50I=")</f>
        <v>#REF!</v>
      </c>
      <c r="BP23" t="e">
        <f>IF(#REF!,"AAAAAH/v50M=",0)</f>
        <v>#REF!</v>
      </c>
      <c r="BQ23" t="e">
        <f>AND(#REF!,"AAAAAH/v50Q=")</f>
        <v>#REF!</v>
      </c>
      <c r="BR23" t="e">
        <f>AND(#REF!,"AAAAAH/v50U=")</f>
        <v>#REF!</v>
      </c>
      <c r="BS23" t="e">
        <f>AND(#REF!,"AAAAAH/v50Y=")</f>
        <v>#REF!</v>
      </c>
      <c r="BT23" t="e">
        <f>AND(#REF!,"AAAAAH/v50c=")</f>
        <v>#REF!</v>
      </c>
      <c r="BU23" t="e">
        <f>AND(#REF!,"AAAAAH/v50g=")</f>
        <v>#REF!</v>
      </c>
      <c r="BV23" t="e">
        <f>AND(#REF!,"AAAAAH/v50k=")</f>
        <v>#REF!</v>
      </c>
      <c r="BW23" t="e">
        <f>AND(#REF!,"AAAAAH/v50o=")</f>
        <v>#REF!</v>
      </c>
      <c r="BX23" t="e">
        <f>AND(#REF!,"AAAAAH/v50s=")</f>
        <v>#REF!</v>
      </c>
      <c r="BY23" t="e">
        <f>AND(#REF!,"AAAAAH/v50w=")</f>
        <v>#REF!</v>
      </c>
      <c r="BZ23" t="e">
        <f>AND(#REF!,"AAAAAH/v500=")</f>
        <v>#REF!</v>
      </c>
      <c r="CA23" t="e">
        <f>AND(#REF!,"AAAAAH/v504=")</f>
        <v>#REF!</v>
      </c>
      <c r="CB23" t="e">
        <f>AND(#REF!,"AAAAAH/v508=")</f>
        <v>#REF!</v>
      </c>
      <c r="CC23" t="e">
        <f>AND(#REF!,"AAAAAH/v51A=")</f>
        <v>#REF!</v>
      </c>
      <c r="CD23" t="e">
        <f>AND(#REF!,"AAAAAH/v51E=")</f>
        <v>#REF!</v>
      </c>
      <c r="CE23" t="e">
        <f>AND(#REF!,"AAAAAH/v51I=")</f>
        <v>#REF!</v>
      </c>
      <c r="CF23" t="e">
        <f>AND(#REF!,"AAAAAH/v51M=")</f>
        <v>#REF!</v>
      </c>
      <c r="CG23" t="e">
        <f>AND(#REF!,"AAAAAH/v51Q=")</f>
        <v>#REF!</v>
      </c>
      <c r="CH23" t="e">
        <f>AND(#REF!,"AAAAAH/v51U=")</f>
        <v>#REF!</v>
      </c>
      <c r="CI23" t="e">
        <f>AND(#REF!,"AAAAAH/v51Y=")</f>
        <v>#REF!</v>
      </c>
      <c r="CJ23" t="e">
        <f>AND(#REF!,"AAAAAH/v51c=")</f>
        <v>#REF!</v>
      </c>
      <c r="CK23" t="e">
        <f>IF(#REF!,"AAAAAH/v51g=",0)</f>
        <v>#REF!</v>
      </c>
      <c r="CL23" t="e">
        <f>AND(#REF!,"AAAAAH/v51k=")</f>
        <v>#REF!</v>
      </c>
      <c r="CM23" t="e">
        <f>AND(#REF!,"AAAAAH/v51o=")</f>
        <v>#REF!</v>
      </c>
      <c r="CN23" t="e">
        <f>AND(#REF!,"AAAAAH/v51s=")</f>
        <v>#REF!</v>
      </c>
      <c r="CO23" t="e">
        <f>AND(#REF!,"AAAAAH/v51w=")</f>
        <v>#REF!</v>
      </c>
      <c r="CP23" t="e">
        <f>AND(#REF!,"AAAAAH/v510=")</f>
        <v>#REF!</v>
      </c>
      <c r="CQ23" t="e">
        <f>AND(#REF!,"AAAAAH/v514=")</f>
        <v>#REF!</v>
      </c>
      <c r="CR23" t="e">
        <f>AND(#REF!,"AAAAAH/v518=")</f>
        <v>#REF!</v>
      </c>
      <c r="CS23" t="e">
        <f>AND(#REF!,"AAAAAH/v52A=")</f>
        <v>#REF!</v>
      </c>
      <c r="CT23" t="e">
        <f>AND(#REF!,"AAAAAH/v52E=")</f>
        <v>#REF!</v>
      </c>
      <c r="CU23" t="e">
        <f>AND(#REF!,"AAAAAH/v52I=")</f>
        <v>#REF!</v>
      </c>
      <c r="CV23" t="e">
        <f>AND(#REF!,"AAAAAH/v52M=")</f>
        <v>#REF!</v>
      </c>
      <c r="CW23" t="e">
        <f>AND(#REF!,"AAAAAH/v52Q=")</f>
        <v>#REF!</v>
      </c>
      <c r="CX23" t="e">
        <f>AND(#REF!,"AAAAAH/v52U=")</f>
        <v>#REF!</v>
      </c>
      <c r="CY23" t="e">
        <f>AND(#REF!,"AAAAAH/v52Y=")</f>
        <v>#REF!</v>
      </c>
      <c r="CZ23" t="e">
        <f>AND(#REF!,"AAAAAH/v52c=")</f>
        <v>#REF!</v>
      </c>
      <c r="DA23" t="e">
        <f>AND(#REF!,"AAAAAH/v52g=")</f>
        <v>#REF!</v>
      </c>
      <c r="DB23" t="e">
        <f>AND(#REF!,"AAAAAH/v52k=")</f>
        <v>#REF!</v>
      </c>
      <c r="DC23" t="e">
        <f>AND(#REF!,"AAAAAH/v52o=")</f>
        <v>#REF!</v>
      </c>
      <c r="DD23" t="e">
        <f>AND(#REF!,"AAAAAH/v52s=")</f>
        <v>#REF!</v>
      </c>
      <c r="DE23" t="e">
        <f>AND(#REF!,"AAAAAH/v52w=")</f>
        <v>#REF!</v>
      </c>
      <c r="DF23" t="e">
        <f>IF(#REF!,"AAAAAH/v520=",0)</f>
        <v>#REF!</v>
      </c>
      <c r="DG23" t="e">
        <f>AND(#REF!,"AAAAAH/v524=")</f>
        <v>#REF!</v>
      </c>
      <c r="DH23" t="e">
        <f>AND(#REF!,"AAAAAH/v528=")</f>
        <v>#REF!</v>
      </c>
      <c r="DI23" t="e">
        <f>AND(#REF!,"AAAAAH/v53A=")</f>
        <v>#REF!</v>
      </c>
      <c r="DJ23" t="e">
        <f>AND(#REF!,"AAAAAH/v53E=")</f>
        <v>#REF!</v>
      </c>
      <c r="DK23" t="e">
        <f>AND(#REF!,"AAAAAH/v53I=")</f>
        <v>#REF!</v>
      </c>
      <c r="DL23" t="e">
        <f>AND(#REF!,"AAAAAH/v53M=")</f>
        <v>#REF!</v>
      </c>
      <c r="DM23" t="e">
        <f>AND(#REF!,"AAAAAH/v53Q=")</f>
        <v>#REF!</v>
      </c>
      <c r="DN23" t="e">
        <f>AND(#REF!,"AAAAAH/v53U=")</f>
        <v>#REF!</v>
      </c>
      <c r="DO23" t="e">
        <f>AND(#REF!,"AAAAAH/v53Y=")</f>
        <v>#REF!</v>
      </c>
      <c r="DP23" t="e">
        <f>AND(#REF!,"AAAAAH/v53c=")</f>
        <v>#REF!</v>
      </c>
      <c r="DQ23" t="e">
        <f>AND(#REF!,"AAAAAH/v53g=")</f>
        <v>#REF!</v>
      </c>
      <c r="DR23" t="e">
        <f>AND(#REF!,"AAAAAH/v53k=")</f>
        <v>#REF!</v>
      </c>
      <c r="DS23" t="e">
        <f>AND(#REF!,"AAAAAH/v53o=")</f>
        <v>#REF!</v>
      </c>
      <c r="DT23" t="e">
        <f>AND(#REF!,"AAAAAH/v53s=")</f>
        <v>#REF!</v>
      </c>
      <c r="DU23" t="e">
        <f>AND(#REF!,"AAAAAH/v53w=")</f>
        <v>#REF!</v>
      </c>
      <c r="DV23" t="e">
        <f>AND(#REF!,"AAAAAH/v530=")</f>
        <v>#REF!</v>
      </c>
      <c r="DW23" t="e">
        <f>AND(#REF!,"AAAAAH/v534=")</f>
        <v>#REF!</v>
      </c>
      <c r="DX23" t="e">
        <f>AND(#REF!,"AAAAAH/v538=")</f>
        <v>#REF!</v>
      </c>
      <c r="DY23" t="e">
        <f>AND(#REF!,"AAAAAH/v54A=")</f>
        <v>#REF!</v>
      </c>
      <c r="DZ23" t="e">
        <f>AND(#REF!,"AAAAAH/v54E=")</f>
        <v>#REF!</v>
      </c>
      <c r="EA23" t="e">
        <f>IF(#REF!,"AAAAAH/v54I=",0)</f>
        <v>#REF!</v>
      </c>
      <c r="EB23" t="e">
        <f>AND(#REF!,"AAAAAH/v54M=")</f>
        <v>#REF!</v>
      </c>
      <c r="EC23" t="e">
        <f>AND(#REF!,"AAAAAH/v54Q=")</f>
        <v>#REF!</v>
      </c>
      <c r="ED23" t="e">
        <f>AND(#REF!,"AAAAAH/v54U=")</f>
        <v>#REF!</v>
      </c>
      <c r="EE23" t="e">
        <f>AND(#REF!,"AAAAAH/v54Y=")</f>
        <v>#REF!</v>
      </c>
      <c r="EF23" t="e">
        <f>AND(#REF!,"AAAAAH/v54c=")</f>
        <v>#REF!</v>
      </c>
      <c r="EG23" t="e">
        <f>AND(#REF!,"AAAAAH/v54g=")</f>
        <v>#REF!</v>
      </c>
      <c r="EH23" t="e">
        <f>AND(#REF!,"AAAAAH/v54k=")</f>
        <v>#REF!</v>
      </c>
      <c r="EI23" t="e">
        <f>AND(#REF!,"AAAAAH/v54o=")</f>
        <v>#REF!</v>
      </c>
      <c r="EJ23" t="e">
        <f>AND(#REF!,"AAAAAH/v54s=")</f>
        <v>#REF!</v>
      </c>
      <c r="EK23" t="e">
        <f>AND(#REF!,"AAAAAH/v54w=")</f>
        <v>#REF!</v>
      </c>
      <c r="EL23" t="e">
        <f>AND(#REF!,"AAAAAH/v540=")</f>
        <v>#REF!</v>
      </c>
      <c r="EM23" t="e">
        <f>AND(#REF!,"AAAAAH/v544=")</f>
        <v>#REF!</v>
      </c>
      <c r="EN23" t="e">
        <f>AND(#REF!,"AAAAAH/v548=")</f>
        <v>#REF!</v>
      </c>
      <c r="EO23" t="e">
        <f>AND(#REF!,"AAAAAH/v55A=")</f>
        <v>#REF!</v>
      </c>
      <c r="EP23" t="e">
        <f>AND(#REF!,"AAAAAH/v55E=")</f>
        <v>#REF!</v>
      </c>
      <c r="EQ23" t="e">
        <f>AND(#REF!,"AAAAAH/v55I=")</f>
        <v>#REF!</v>
      </c>
      <c r="ER23" t="e">
        <f>AND(#REF!,"AAAAAH/v55M=")</f>
        <v>#REF!</v>
      </c>
      <c r="ES23" t="e">
        <f>AND(#REF!,"AAAAAH/v55Q=")</f>
        <v>#REF!</v>
      </c>
      <c r="ET23" t="e">
        <f>AND(#REF!,"AAAAAH/v55U=")</f>
        <v>#REF!</v>
      </c>
      <c r="EU23" t="e">
        <f>AND(#REF!,"AAAAAH/v55Y=")</f>
        <v>#REF!</v>
      </c>
      <c r="EV23" t="e">
        <f>IF(#REF!,"AAAAAH/v55c=",0)</f>
        <v>#REF!</v>
      </c>
      <c r="EW23" t="e">
        <f>AND(#REF!,"AAAAAH/v55g=")</f>
        <v>#REF!</v>
      </c>
      <c r="EX23" t="e">
        <f>AND(#REF!,"AAAAAH/v55k=")</f>
        <v>#REF!</v>
      </c>
      <c r="EY23" t="e">
        <f>AND(#REF!,"AAAAAH/v55o=")</f>
        <v>#REF!</v>
      </c>
      <c r="EZ23" t="e">
        <f>AND(#REF!,"AAAAAH/v55s=")</f>
        <v>#REF!</v>
      </c>
      <c r="FA23" t="e">
        <f>AND(#REF!,"AAAAAH/v55w=")</f>
        <v>#REF!</v>
      </c>
      <c r="FB23" t="e">
        <f>AND(#REF!,"AAAAAH/v550=")</f>
        <v>#REF!</v>
      </c>
      <c r="FC23" t="e">
        <f>AND(#REF!,"AAAAAH/v554=")</f>
        <v>#REF!</v>
      </c>
      <c r="FD23" t="e">
        <f>AND(#REF!,"AAAAAH/v558=")</f>
        <v>#REF!</v>
      </c>
      <c r="FE23" t="e">
        <f>AND(#REF!,"AAAAAH/v56A=")</f>
        <v>#REF!</v>
      </c>
      <c r="FF23" t="e">
        <f>AND(#REF!,"AAAAAH/v56E=")</f>
        <v>#REF!</v>
      </c>
      <c r="FG23" t="e">
        <f>AND(#REF!,"AAAAAH/v56I=")</f>
        <v>#REF!</v>
      </c>
      <c r="FH23" t="e">
        <f>AND(#REF!,"AAAAAH/v56M=")</f>
        <v>#REF!</v>
      </c>
      <c r="FI23" t="e">
        <f>AND(#REF!,"AAAAAH/v56Q=")</f>
        <v>#REF!</v>
      </c>
      <c r="FJ23" t="e">
        <f>AND(#REF!,"AAAAAH/v56U=")</f>
        <v>#REF!</v>
      </c>
      <c r="FK23" t="e">
        <f>AND(#REF!,"AAAAAH/v56Y=")</f>
        <v>#REF!</v>
      </c>
      <c r="FL23" t="e">
        <f>AND(#REF!,"AAAAAH/v56c=")</f>
        <v>#REF!</v>
      </c>
      <c r="FM23" t="e">
        <f>AND(#REF!,"AAAAAH/v56g=")</f>
        <v>#REF!</v>
      </c>
      <c r="FN23" t="e">
        <f>AND(#REF!,"AAAAAH/v56k=")</f>
        <v>#REF!</v>
      </c>
      <c r="FO23" t="e">
        <f>AND(#REF!,"AAAAAH/v56o=")</f>
        <v>#REF!</v>
      </c>
      <c r="FP23" t="e">
        <f>AND(#REF!,"AAAAAH/v56s=")</f>
        <v>#REF!</v>
      </c>
      <c r="FQ23" t="e">
        <f>IF(#REF!,"AAAAAH/v56w=",0)</f>
        <v>#REF!</v>
      </c>
      <c r="FR23" t="e">
        <f>AND(#REF!,"AAAAAH/v560=")</f>
        <v>#REF!</v>
      </c>
      <c r="FS23" t="e">
        <f>AND(#REF!,"AAAAAH/v564=")</f>
        <v>#REF!</v>
      </c>
      <c r="FT23" t="e">
        <f>AND(#REF!,"AAAAAH/v568=")</f>
        <v>#REF!</v>
      </c>
      <c r="FU23" t="e">
        <f>AND(#REF!,"AAAAAH/v57A=")</f>
        <v>#REF!</v>
      </c>
      <c r="FV23" t="e">
        <f>AND(#REF!,"AAAAAH/v57E=")</f>
        <v>#REF!</v>
      </c>
      <c r="FW23" t="e">
        <f>AND(#REF!,"AAAAAH/v57I=")</f>
        <v>#REF!</v>
      </c>
      <c r="FX23" t="e">
        <f>AND(#REF!,"AAAAAH/v57M=")</f>
        <v>#REF!</v>
      </c>
      <c r="FY23" t="e">
        <f>AND(#REF!,"AAAAAH/v57Q=")</f>
        <v>#REF!</v>
      </c>
      <c r="FZ23" t="e">
        <f>AND(#REF!,"AAAAAH/v57U=")</f>
        <v>#REF!</v>
      </c>
      <c r="GA23" t="e">
        <f>AND(#REF!,"AAAAAH/v57Y=")</f>
        <v>#REF!</v>
      </c>
      <c r="GB23" t="e">
        <f>AND(#REF!,"AAAAAH/v57c=")</f>
        <v>#REF!</v>
      </c>
      <c r="GC23" t="e">
        <f>AND(#REF!,"AAAAAH/v57g=")</f>
        <v>#REF!</v>
      </c>
      <c r="GD23" t="e">
        <f>AND(#REF!,"AAAAAH/v57k=")</f>
        <v>#REF!</v>
      </c>
      <c r="GE23" t="e">
        <f>AND(#REF!,"AAAAAH/v57o=")</f>
        <v>#REF!</v>
      </c>
      <c r="GF23" t="e">
        <f>AND(#REF!,"AAAAAH/v57s=")</f>
        <v>#REF!</v>
      </c>
      <c r="GG23" t="e">
        <f>AND(#REF!,"AAAAAH/v57w=")</f>
        <v>#REF!</v>
      </c>
      <c r="GH23" t="e">
        <f>AND(#REF!,"AAAAAH/v570=")</f>
        <v>#REF!</v>
      </c>
      <c r="GI23" t="e">
        <f>AND(#REF!,"AAAAAH/v574=")</f>
        <v>#REF!</v>
      </c>
      <c r="GJ23" t="e">
        <f>AND(#REF!,"AAAAAH/v578=")</f>
        <v>#REF!</v>
      </c>
      <c r="GK23" t="e">
        <f>AND(#REF!,"AAAAAH/v58A=")</f>
        <v>#REF!</v>
      </c>
      <c r="GL23" t="e">
        <f>IF(#REF!,"AAAAAH/v58E=",0)</f>
        <v>#REF!</v>
      </c>
      <c r="GM23" t="e">
        <f>AND(#REF!,"AAAAAH/v58I=")</f>
        <v>#REF!</v>
      </c>
      <c r="GN23" t="e">
        <f>AND(#REF!,"AAAAAH/v58M=")</f>
        <v>#REF!</v>
      </c>
      <c r="GO23" t="e">
        <f>AND(#REF!,"AAAAAH/v58Q=")</f>
        <v>#REF!</v>
      </c>
      <c r="GP23" t="e">
        <f>AND(#REF!,"AAAAAH/v58U=")</f>
        <v>#REF!</v>
      </c>
      <c r="GQ23" t="e">
        <f>AND(#REF!,"AAAAAH/v58Y=")</f>
        <v>#REF!</v>
      </c>
      <c r="GR23" t="e">
        <f>AND(#REF!,"AAAAAH/v58c=")</f>
        <v>#REF!</v>
      </c>
      <c r="GS23" t="e">
        <f>AND(#REF!,"AAAAAH/v58g=")</f>
        <v>#REF!</v>
      </c>
      <c r="GT23" t="e">
        <f>AND(#REF!,"AAAAAH/v58k=")</f>
        <v>#REF!</v>
      </c>
      <c r="GU23" t="e">
        <f>AND(#REF!,"AAAAAH/v58o=")</f>
        <v>#REF!</v>
      </c>
      <c r="GV23" t="e">
        <f>AND(#REF!,"AAAAAH/v58s=")</f>
        <v>#REF!</v>
      </c>
      <c r="GW23" t="e">
        <f>AND(#REF!,"AAAAAH/v58w=")</f>
        <v>#REF!</v>
      </c>
      <c r="GX23" t="e">
        <f>AND(#REF!,"AAAAAH/v580=")</f>
        <v>#REF!</v>
      </c>
      <c r="GY23" t="e">
        <f>AND(#REF!,"AAAAAH/v584=")</f>
        <v>#REF!</v>
      </c>
      <c r="GZ23" t="e">
        <f>AND(#REF!,"AAAAAH/v588=")</f>
        <v>#REF!</v>
      </c>
      <c r="HA23" t="e">
        <f>AND(#REF!,"AAAAAH/v59A=")</f>
        <v>#REF!</v>
      </c>
      <c r="HB23" t="e">
        <f>AND(#REF!,"AAAAAH/v59E=")</f>
        <v>#REF!</v>
      </c>
      <c r="HC23" t="e">
        <f>AND(#REF!,"AAAAAH/v59I=")</f>
        <v>#REF!</v>
      </c>
      <c r="HD23" t="e">
        <f>AND(#REF!,"AAAAAH/v59M=")</f>
        <v>#REF!</v>
      </c>
      <c r="HE23" t="e">
        <f>AND(#REF!,"AAAAAH/v59Q=")</f>
        <v>#REF!</v>
      </c>
      <c r="HF23" t="e">
        <f>AND(#REF!,"AAAAAH/v59U=")</f>
        <v>#REF!</v>
      </c>
      <c r="HG23" t="e">
        <f>IF(#REF!,"AAAAAH/v59Y=",0)</f>
        <v>#REF!</v>
      </c>
      <c r="HH23" t="e">
        <f>AND(#REF!,"AAAAAH/v59c=")</f>
        <v>#REF!</v>
      </c>
      <c r="HI23" t="e">
        <f>AND(#REF!,"AAAAAH/v59g=")</f>
        <v>#REF!</v>
      </c>
      <c r="HJ23" t="e">
        <f>AND(#REF!,"AAAAAH/v59k=")</f>
        <v>#REF!</v>
      </c>
      <c r="HK23" t="e">
        <f>AND(#REF!,"AAAAAH/v59o=")</f>
        <v>#REF!</v>
      </c>
      <c r="HL23" t="e">
        <f>AND(#REF!,"AAAAAH/v59s=")</f>
        <v>#REF!</v>
      </c>
      <c r="HM23" t="e">
        <f>AND(#REF!,"AAAAAH/v59w=")</f>
        <v>#REF!</v>
      </c>
      <c r="HN23" t="e">
        <f>AND(#REF!,"AAAAAH/v590=")</f>
        <v>#REF!</v>
      </c>
      <c r="HO23" t="e">
        <f>AND(#REF!,"AAAAAH/v594=")</f>
        <v>#REF!</v>
      </c>
      <c r="HP23" t="e">
        <f>AND(#REF!,"AAAAAH/v598=")</f>
        <v>#REF!</v>
      </c>
      <c r="HQ23" t="e">
        <f>AND(#REF!,"AAAAAH/v5+A=")</f>
        <v>#REF!</v>
      </c>
      <c r="HR23" t="e">
        <f>AND(#REF!,"AAAAAH/v5+E=")</f>
        <v>#REF!</v>
      </c>
      <c r="HS23" t="e">
        <f>AND(#REF!,"AAAAAH/v5+I=")</f>
        <v>#REF!</v>
      </c>
      <c r="HT23" t="e">
        <f>AND(#REF!,"AAAAAH/v5+M=")</f>
        <v>#REF!</v>
      </c>
      <c r="HU23" t="e">
        <f>AND(#REF!,"AAAAAH/v5+Q=")</f>
        <v>#REF!</v>
      </c>
      <c r="HV23" t="e">
        <f>AND(#REF!,"AAAAAH/v5+U=")</f>
        <v>#REF!</v>
      </c>
      <c r="HW23" t="e">
        <f>AND(#REF!,"AAAAAH/v5+Y=")</f>
        <v>#REF!</v>
      </c>
      <c r="HX23" t="e">
        <f>AND(#REF!,"AAAAAH/v5+c=")</f>
        <v>#REF!</v>
      </c>
      <c r="HY23" t="e">
        <f>AND(#REF!,"AAAAAH/v5+g=")</f>
        <v>#REF!</v>
      </c>
      <c r="HZ23" t="e">
        <f>AND(#REF!,"AAAAAH/v5+k=")</f>
        <v>#REF!</v>
      </c>
      <c r="IA23" t="e">
        <f>AND(#REF!,"AAAAAH/v5+o=")</f>
        <v>#REF!</v>
      </c>
      <c r="IB23" t="e">
        <f>IF(#REF!,"AAAAAH/v5+s=",0)</f>
        <v>#REF!</v>
      </c>
      <c r="IC23" t="e">
        <f>AND(#REF!,"AAAAAH/v5+w=")</f>
        <v>#REF!</v>
      </c>
      <c r="ID23" t="e">
        <f>AND(#REF!,"AAAAAH/v5+0=")</f>
        <v>#REF!</v>
      </c>
      <c r="IE23" t="e">
        <f>AND(#REF!,"AAAAAH/v5+4=")</f>
        <v>#REF!</v>
      </c>
      <c r="IF23" t="e">
        <f>AND(#REF!,"AAAAAH/v5+8=")</f>
        <v>#REF!</v>
      </c>
      <c r="IG23" t="e">
        <f>AND(#REF!,"AAAAAH/v5/A=")</f>
        <v>#REF!</v>
      </c>
      <c r="IH23" t="e">
        <f>AND(#REF!,"AAAAAH/v5/E=")</f>
        <v>#REF!</v>
      </c>
      <c r="II23" t="e">
        <f>AND(#REF!,"AAAAAH/v5/I=")</f>
        <v>#REF!</v>
      </c>
      <c r="IJ23" t="e">
        <f>AND(#REF!,"AAAAAH/v5/M=")</f>
        <v>#REF!</v>
      </c>
      <c r="IK23" t="e">
        <f>AND(#REF!,"AAAAAH/v5/Q=")</f>
        <v>#REF!</v>
      </c>
      <c r="IL23" t="e">
        <f>AND(#REF!,"AAAAAH/v5/U=")</f>
        <v>#REF!</v>
      </c>
      <c r="IM23" t="e">
        <f>AND(#REF!,"AAAAAH/v5/Y=")</f>
        <v>#REF!</v>
      </c>
      <c r="IN23" t="e">
        <f>AND(#REF!,"AAAAAH/v5/c=")</f>
        <v>#REF!</v>
      </c>
      <c r="IO23" t="e">
        <f>AND(#REF!,"AAAAAH/v5/g=")</f>
        <v>#REF!</v>
      </c>
      <c r="IP23" t="e">
        <f>AND(#REF!,"AAAAAH/v5/k=")</f>
        <v>#REF!</v>
      </c>
      <c r="IQ23" t="e">
        <f>AND(#REF!,"AAAAAH/v5/o=")</f>
        <v>#REF!</v>
      </c>
      <c r="IR23" t="e">
        <f>AND(#REF!,"AAAAAH/v5/s=")</f>
        <v>#REF!</v>
      </c>
      <c r="IS23" t="e">
        <f>AND(#REF!,"AAAAAH/v5/w=")</f>
        <v>#REF!</v>
      </c>
      <c r="IT23" t="e">
        <f>AND(#REF!,"AAAAAH/v5/0=")</f>
        <v>#REF!</v>
      </c>
      <c r="IU23" t="e">
        <f>AND(#REF!,"AAAAAH/v5/4=")</f>
        <v>#REF!</v>
      </c>
      <c r="IV23" t="e">
        <f>AND(#REF!,"AAAAAH/v5/8=")</f>
        <v>#REF!</v>
      </c>
    </row>
    <row r="24" spans="1:256">
      <c r="A24" t="e">
        <f>IF(#REF!,"AAAAAD79+gA=",0)</f>
        <v>#REF!</v>
      </c>
      <c r="B24" t="e">
        <f>AND(#REF!,"AAAAAD79+gE=")</f>
        <v>#REF!</v>
      </c>
      <c r="C24" t="e">
        <f>AND(#REF!,"AAAAAD79+gI=")</f>
        <v>#REF!</v>
      </c>
      <c r="D24" t="e">
        <f>AND(#REF!,"AAAAAD79+gM=")</f>
        <v>#REF!</v>
      </c>
      <c r="E24" t="e">
        <f>AND(#REF!,"AAAAAD79+gQ=")</f>
        <v>#REF!</v>
      </c>
      <c r="F24" t="e">
        <f>AND(#REF!,"AAAAAD79+gU=")</f>
        <v>#REF!</v>
      </c>
      <c r="G24" t="e">
        <f>AND(#REF!,"AAAAAD79+gY=")</f>
        <v>#REF!</v>
      </c>
      <c r="H24" t="e">
        <f>AND(#REF!,"AAAAAD79+gc=")</f>
        <v>#REF!</v>
      </c>
      <c r="I24" t="e">
        <f>AND(#REF!,"AAAAAD79+gg=")</f>
        <v>#REF!</v>
      </c>
      <c r="J24" t="e">
        <f>AND(#REF!,"AAAAAD79+gk=")</f>
        <v>#REF!</v>
      </c>
      <c r="K24" t="e">
        <f>AND(#REF!,"AAAAAD79+go=")</f>
        <v>#REF!</v>
      </c>
      <c r="L24" t="e">
        <f>AND(#REF!,"AAAAAD79+gs=")</f>
        <v>#REF!</v>
      </c>
      <c r="M24" t="e">
        <f>AND(#REF!,"AAAAAD79+gw=")</f>
        <v>#REF!</v>
      </c>
      <c r="N24" t="e">
        <f>AND(#REF!,"AAAAAD79+g0=")</f>
        <v>#REF!</v>
      </c>
      <c r="O24" t="e">
        <f>AND(#REF!,"AAAAAD79+g4=")</f>
        <v>#REF!</v>
      </c>
      <c r="P24" t="e">
        <f>AND(#REF!,"AAAAAD79+g8=")</f>
        <v>#REF!</v>
      </c>
      <c r="Q24" t="e">
        <f>AND(#REF!,"AAAAAD79+hA=")</f>
        <v>#REF!</v>
      </c>
      <c r="R24" t="e">
        <f>AND(#REF!,"AAAAAD79+hE=")</f>
        <v>#REF!</v>
      </c>
      <c r="S24" t="e">
        <f>AND(#REF!,"AAAAAD79+hI=")</f>
        <v>#REF!</v>
      </c>
      <c r="T24" t="e">
        <f>AND(#REF!,"AAAAAD79+hM=")</f>
        <v>#REF!</v>
      </c>
      <c r="U24" t="e">
        <f>AND(#REF!,"AAAAAD79+hQ=")</f>
        <v>#REF!</v>
      </c>
      <c r="V24" t="e">
        <f>IF(#REF!,"AAAAAD79+hU=",0)</f>
        <v>#REF!</v>
      </c>
      <c r="W24" t="e">
        <f>AND(#REF!,"AAAAAD79+hY=")</f>
        <v>#REF!</v>
      </c>
      <c r="X24" t="e">
        <f>AND(#REF!,"AAAAAD79+hc=")</f>
        <v>#REF!</v>
      </c>
      <c r="Y24" t="e">
        <f>AND(#REF!,"AAAAAD79+hg=")</f>
        <v>#REF!</v>
      </c>
      <c r="Z24" t="e">
        <f>AND(#REF!,"AAAAAD79+hk=")</f>
        <v>#REF!</v>
      </c>
      <c r="AA24" t="e">
        <f>AND(#REF!,"AAAAAD79+ho=")</f>
        <v>#REF!</v>
      </c>
      <c r="AB24" t="e">
        <f>AND(#REF!,"AAAAAD79+hs=")</f>
        <v>#REF!</v>
      </c>
      <c r="AC24" t="e">
        <f>AND(#REF!,"AAAAAD79+hw=")</f>
        <v>#REF!</v>
      </c>
      <c r="AD24" t="e">
        <f>AND(#REF!,"AAAAAD79+h0=")</f>
        <v>#REF!</v>
      </c>
      <c r="AE24" t="e">
        <f>AND(#REF!,"AAAAAD79+h4=")</f>
        <v>#REF!</v>
      </c>
      <c r="AF24" t="e">
        <f>AND(#REF!,"AAAAAD79+h8=")</f>
        <v>#REF!</v>
      </c>
      <c r="AG24" t="e">
        <f>AND(#REF!,"AAAAAD79+iA=")</f>
        <v>#REF!</v>
      </c>
      <c r="AH24" t="e">
        <f>AND(#REF!,"AAAAAD79+iE=")</f>
        <v>#REF!</v>
      </c>
      <c r="AI24" t="e">
        <f>AND(#REF!,"AAAAAD79+iI=")</f>
        <v>#REF!</v>
      </c>
      <c r="AJ24" t="e">
        <f>AND(#REF!,"AAAAAD79+iM=")</f>
        <v>#REF!</v>
      </c>
      <c r="AK24" t="e">
        <f>AND(#REF!,"AAAAAD79+iQ=")</f>
        <v>#REF!</v>
      </c>
      <c r="AL24" t="e">
        <f>AND(#REF!,"AAAAAD79+iU=")</f>
        <v>#REF!</v>
      </c>
      <c r="AM24" t="e">
        <f>AND(#REF!,"AAAAAD79+iY=")</f>
        <v>#REF!</v>
      </c>
      <c r="AN24" t="e">
        <f>AND(#REF!,"AAAAAD79+ic=")</f>
        <v>#REF!</v>
      </c>
      <c r="AO24" t="e">
        <f>AND(#REF!,"AAAAAD79+ig=")</f>
        <v>#REF!</v>
      </c>
      <c r="AP24" t="e">
        <f>AND(#REF!,"AAAAAD79+ik=")</f>
        <v>#REF!</v>
      </c>
      <c r="AQ24" t="e">
        <f>IF(#REF!,"AAAAAD79+io=",0)</f>
        <v>#REF!</v>
      </c>
      <c r="AR24" t="e">
        <f>AND(#REF!,"AAAAAD79+is=")</f>
        <v>#REF!</v>
      </c>
      <c r="AS24" t="e">
        <f>AND(#REF!,"AAAAAD79+iw=")</f>
        <v>#REF!</v>
      </c>
      <c r="AT24" t="e">
        <f>AND(#REF!,"AAAAAD79+i0=")</f>
        <v>#REF!</v>
      </c>
      <c r="AU24" t="e">
        <f>AND(#REF!,"AAAAAD79+i4=")</f>
        <v>#REF!</v>
      </c>
      <c r="AV24" t="e">
        <f>AND(#REF!,"AAAAAD79+i8=")</f>
        <v>#REF!</v>
      </c>
      <c r="AW24" t="e">
        <f>AND(#REF!,"AAAAAD79+jA=")</f>
        <v>#REF!</v>
      </c>
      <c r="AX24" t="e">
        <f>AND(#REF!,"AAAAAD79+jE=")</f>
        <v>#REF!</v>
      </c>
      <c r="AY24" t="e">
        <f>AND(#REF!,"AAAAAD79+jI=")</f>
        <v>#REF!</v>
      </c>
      <c r="AZ24" t="e">
        <f>AND(#REF!,"AAAAAD79+jM=")</f>
        <v>#REF!</v>
      </c>
      <c r="BA24" t="e">
        <f>AND(#REF!,"AAAAAD79+jQ=")</f>
        <v>#REF!</v>
      </c>
      <c r="BB24" t="e">
        <f>AND(#REF!,"AAAAAD79+jU=")</f>
        <v>#REF!</v>
      </c>
      <c r="BC24" t="e">
        <f>AND(#REF!,"AAAAAD79+jY=")</f>
        <v>#REF!</v>
      </c>
      <c r="BD24" t="e">
        <f>AND(#REF!,"AAAAAD79+jc=")</f>
        <v>#REF!</v>
      </c>
      <c r="BE24" t="e">
        <f>AND(#REF!,"AAAAAD79+jg=")</f>
        <v>#REF!</v>
      </c>
      <c r="BF24" t="e">
        <f>AND(#REF!,"AAAAAD79+jk=")</f>
        <v>#REF!</v>
      </c>
      <c r="BG24" t="e">
        <f>AND(#REF!,"AAAAAD79+jo=")</f>
        <v>#REF!</v>
      </c>
      <c r="BH24" t="e">
        <f>AND(#REF!,"AAAAAD79+js=")</f>
        <v>#REF!</v>
      </c>
      <c r="BI24" t="e">
        <f>AND(#REF!,"AAAAAD79+jw=")</f>
        <v>#REF!</v>
      </c>
      <c r="BJ24" t="e">
        <f>AND(#REF!,"AAAAAD79+j0=")</f>
        <v>#REF!</v>
      </c>
      <c r="BK24" t="e">
        <f>AND(#REF!,"AAAAAD79+j4=")</f>
        <v>#REF!</v>
      </c>
      <c r="BL24" t="e">
        <f>IF(#REF!,"AAAAAD79+j8=",0)</f>
        <v>#REF!</v>
      </c>
      <c r="BM24" t="e">
        <f>AND(#REF!,"AAAAAD79+kA=")</f>
        <v>#REF!</v>
      </c>
      <c r="BN24" t="e">
        <f>AND(#REF!,"AAAAAD79+kE=")</f>
        <v>#REF!</v>
      </c>
      <c r="BO24" t="e">
        <f>AND(#REF!,"AAAAAD79+kI=")</f>
        <v>#REF!</v>
      </c>
      <c r="BP24" t="e">
        <f>AND(#REF!,"AAAAAD79+kM=")</f>
        <v>#REF!</v>
      </c>
      <c r="BQ24" t="e">
        <f>AND(#REF!,"AAAAAD79+kQ=")</f>
        <v>#REF!</v>
      </c>
      <c r="BR24" t="e">
        <f>AND(#REF!,"AAAAAD79+kU=")</f>
        <v>#REF!</v>
      </c>
      <c r="BS24" t="e">
        <f>AND(#REF!,"AAAAAD79+kY=")</f>
        <v>#REF!</v>
      </c>
      <c r="BT24" t="e">
        <f>AND(#REF!,"AAAAAD79+kc=")</f>
        <v>#REF!</v>
      </c>
      <c r="BU24" t="e">
        <f>AND(#REF!,"AAAAAD79+kg=")</f>
        <v>#REF!</v>
      </c>
      <c r="BV24" t="e">
        <f>AND(#REF!,"AAAAAD79+kk=")</f>
        <v>#REF!</v>
      </c>
      <c r="BW24" t="e">
        <f>AND(#REF!,"AAAAAD79+ko=")</f>
        <v>#REF!</v>
      </c>
      <c r="BX24" t="e">
        <f>AND(#REF!,"AAAAAD79+ks=")</f>
        <v>#REF!</v>
      </c>
      <c r="BY24" t="e">
        <f>AND(#REF!,"AAAAAD79+kw=")</f>
        <v>#REF!</v>
      </c>
      <c r="BZ24" t="e">
        <f>AND(#REF!,"AAAAAD79+k0=")</f>
        <v>#REF!</v>
      </c>
      <c r="CA24" t="e">
        <f>AND(#REF!,"AAAAAD79+k4=")</f>
        <v>#REF!</v>
      </c>
      <c r="CB24" t="e">
        <f>AND(#REF!,"AAAAAD79+k8=")</f>
        <v>#REF!</v>
      </c>
      <c r="CC24" t="e">
        <f>AND(#REF!,"AAAAAD79+lA=")</f>
        <v>#REF!</v>
      </c>
      <c r="CD24" t="e">
        <f>AND(#REF!,"AAAAAD79+lE=")</f>
        <v>#REF!</v>
      </c>
      <c r="CE24" t="e">
        <f>AND(#REF!,"AAAAAD79+lI=")</f>
        <v>#REF!</v>
      </c>
      <c r="CF24" t="e">
        <f>AND(#REF!,"AAAAAD79+lM=")</f>
        <v>#REF!</v>
      </c>
      <c r="CG24" t="e">
        <f>IF(#REF!,"AAAAAD79+lQ=",0)</f>
        <v>#REF!</v>
      </c>
      <c r="CH24" t="e">
        <f>AND(#REF!,"AAAAAD79+lU=")</f>
        <v>#REF!</v>
      </c>
      <c r="CI24" t="e">
        <f>AND(#REF!,"AAAAAD79+lY=")</f>
        <v>#REF!</v>
      </c>
      <c r="CJ24" t="e">
        <f>AND(#REF!,"AAAAAD79+lc=")</f>
        <v>#REF!</v>
      </c>
      <c r="CK24" t="e">
        <f>AND(#REF!,"AAAAAD79+lg=")</f>
        <v>#REF!</v>
      </c>
      <c r="CL24" t="e">
        <f>AND(#REF!,"AAAAAD79+lk=")</f>
        <v>#REF!</v>
      </c>
      <c r="CM24" t="e">
        <f>AND(#REF!,"AAAAAD79+lo=")</f>
        <v>#REF!</v>
      </c>
      <c r="CN24" t="e">
        <f>AND(#REF!,"AAAAAD79+ls=")</f>
        <v>#REF!</v>
      </c>
      <c r="CO24" t="e">
        <f>AND(#REF!,"AAAAAD79+lw=")</f>
        <v>#REF!</v>
      </c>
      <c r="CP24" t="e">
        <f>AND(#REF!,"AAAAAD79+l0=")</f>
        <v>#REF!</v>
      </c>
      <c r="CQ24" t="e">
        <f>AND(#REF!,"AAAAAD79+l4=")</f>
        <v>#REF!</v>
      </c>
      <c r="CR24" t="e">
        <f>AND(#REF!,"AAAAAD79+l8=")</f>
        <v>#REF!</v>
      </c>
      <c r="CS24" t="e">
        <f>AND(#REF!,"AAAAAD79+mA=")</f>
        <v>#REF!</v>
      </c>
      <c r="CT24" t="e">
        <f>AND(#REF!,"AAAAAD79+mE=")</f>
        <v>#REF!</v>
      </c>
      <c r="CU24" t="e">
        <f>AND(#REF!,"AAAAAD79+mI=")</f>
        <v>#REF!</v>
      </c>
      <c r="CV24" t="e">
        <f>AND(#REF!,"AAAAAD79+mM=")</f>
        <v>#REF!</v>
      </c>
      <c r="CW24" t="e">
        <f>AND(#REF!,"AAAAAD79+mQ=")</f>
        <v>#REF!</v>
      </c>
      <c r="CX24" t="e">
        <f>AND(#REF!,"AAAAAD79+mU=")</f>
        <v>#REF!</v>
      </c>
      <c r="CY24" t="e">
        <f>AND(#REF!,"AAAAAD79+mY=")</f>
        <v>#REF!</v>
      </c>
      <c r="CZ24" t="e">
        <f>AND(#REF!,"AAAAAD79+mc=")</f>
        <v>#REF!</v>
      </c>
      <c r="DA24" t="e">
        <f>AND(#REF!,"AAAAAD79+mg=")</f>
        <v>#REF!</v>
      </c>
      <c r="DB24" t="e">
        <f>IF(#REF!,"AAAAAD79+mk=",0)</f>
        <v>#REF!</v>
      </c>
      <c r="DC24" t="e">
        <f>AND(#REF!,"AAAAAD79+mo=")</f>
        <v>#REF!</v>
      </c>
      <c r="DD24" t="e">
        <f>AND(#REF!,"AAAAAD79+ms=")</f>
        <v>#REF!</v>
      </c>
      <c r="DE24" t="e">
        <f>AND(#REF!,"AAAAAD79+mw=")</f>
        <v>#REF!</v>
      </c>
      <c r="DF24" t="e">
        <f>AND(#REF!,"AAAAAD79+m0=")</f>
        <v>#REF!</v>
      </c>
      <c r="DG24" t="e">
        <f>AND(#REF!,"AAAAAD79+m4=")</f>
        <v>#REF!</v>
      </c>
      <c r="DH24" t="e">
        <f>AND(#REF!,"AAAAAD79+m8=")</f>
        <v>#REF!</v>
      </c>
      <c r="DI24" t="e">
        <f>AND(#REF!,"AAAAAD79+nA=")</f>
        <v>#REF!</v>
      </c>
      <c r="DJ24" t="e">
        <f>AND(#REF!,"AAAAAD79+nE=")</f>
        <v>#REF!</v>
      </c>
      <c r="DK24" t="e">
        <f>AND(#REF!,"AAAAAD79+nI=")</f>
        <v>#REF!</v>
      </c>
      <c r="DL24" t="e">
        <f>AND(#REF!,"AAAAAD79+nM=")</f>
        <v>#REF!</v>
      </c>
      <c r="DM24" t="e">
        <f>AND(#REF!,"AAAAAD79+nQ=")</f>
        <v>#REF!</v>
      </c>
      <c r="DN24" t="e">
        <f>AND(#REF!,"AAAAAD79+nU=")</f>
        <v>#REF!</v>
      </c>
      <c r="DO24" t="e">
        <f>AND(#REF!,"AAAAAD79+nY=")</f>
        <v>#REF!</v>
      </c>
      <c r="DP24" t="e">
        <f>AND(#REF!,"AAAAAD79+nc=")</f>
        <v>#REF!</v>
      </c>
      <c r="DQ24" t="e">
        <f>AND(#REF!,"AAAAAD79+ng=")</f>
        <v>#REF!</v>
      </c>
      <c r="DR24" t="e">
        <f>AND(#REF!,"AAAAAD79+nk=")</f>
        <v>#REF!</v>
      </c>
      <c r="DS24" t="e">
        <f>AND(#REF!,"AAAAAD79+no=")</f>
        <v>#REF!</v>
      </c>
      <c r="DT24" t="e">
        <f>AND(#REF!,"AAAAAD79+ns=")</f>
        <v>#REF!</v>
      </c>
      <c r="DU24" t="e">
        <f>AND(#REF!,"AAAAAD79+nw=")</f>
        <v>#REF!</v>
      </c>
      <c r="DV24" t="e">
        <f>AND(#REF!,"AAAAAD79+n0=")</f>
        <v>#REF!</v>
      </c>
      <c r="DW24" t="e">
        <f>IF(#REF!,"AAAAAD79+n4=",0)</f>
        <v>#REF!</v>
      </c>
      <c r="DX24" t="e">
        <f>AND(#REF!,"AAAAAD79+n8=")</f>
        <v>#REF!</v>
      </c>
      <c r="DY24" t="e">
        <f>AND(#REF!,"AAAAAD79+oA=")</f>
        <v>#REF!</v>
      </c>
      <c r="DZ24" t="e">
        <f>AND(#REF!,"AAAAAD79+oE=")</f>
        <v>#REF!</v>
      </c>
      <c r="EA24" t="e">
        <f>AND(#REF!,"AAAAAD79+oI=")</f>
        <v>#REF!</v>
      </c>
      <c r="EB24" t="e">
        <f>AND(#REF!,"AAAAAD79+oM=")</f>
        <v>#REF!</v>
      </c>
      <c r="EC24" t="e">
        <f>AND(#REF!,"AAAAAD79+oQ=")</f>
        <v>#REF!</v>
      </c>
      <c r="ED24" t="e">
        <f>AND(#REF!,"AAAAAD79+oU=")</f>
        <v>#REF!</v>
      </c>
      <c r="EE24" t="e">
        <f>AND(#REF!,"AAAAAD79+oY=")</f>
        <v>#REF!</v>
      </c>
      <c r="EF24" t="e">
        <f>AND(#REF!,"AAAAAD79+oc=")</f>
        <v>#REF!</v>
      </c>
      <c r="EG24" t="e">
        <f>AND(#REF!,"AAAAAD79+og=")</f>
        <v>#REF!</v>
      </c>
      <c r="EH24" t="e">
        <f>AND(#REF!,"AAAAAD79+ok=")</f>
        <v>#REF!</v>
      </c>
      <c r="EI24" t="e">
        <f>AND(#REF!,"AAAAAD79+oo=")</f>
        <v>#REF!</v>
      </c>
      <c r="EJ24" t="e">
        <f>AND(#REF!,"AAAAAD79+os=")</f>
        <v>#REF!</v>
      </c>
      <c r="EK24" t="e">
        <f>AND(#REF!,"AAAAAD79+ow=")</f>
        <v>#REF!</v>
      </c>
      <c r="EL24" t="e">
        <f>AND(#REF!,"AAAAAD79+o0=")</f>
        <v>#REF!</v>
      </c>
      <c r="EM24" t="e">
        <f>AND(#REF!,"AAAAAD79+o4=")</f>
        <v>#REF!</v>
      </c>
      <c r="EN24" t="e">
        <f>AND(#REF!,"AAAAAD79+o8=")</f>
        <v>#REF!</v>
      </c>
      <c r="EO24" t="e">
        <f>AND(#REF!,"AAAAAD79+pA=")</f>
        <v>#REF!</v>
      </c>
      <c r="EP24" t="e">
        <f>AND(#REF!,"AAAAAD79+pE=")</f>
        <v>#REF!</v>
      </c>
      <c r="EQ24" t="e">
        <f>AND(#REF!,"AAAAAD79+pI=")</f>
        <v>#REF!</v>
      </c>
      <c r="ER24" t="e">
        <f>IF(#REF!,"AAAAAD79+pM=",0)</f>
        <v>#REF!</v>
      </c>
      <c r="ES24" t="e">
        <f>AND(#REF!,"AAAAAD79+pQ=")</f>
        <v>#REF!</v>
      </c>
      <c r="ET24" t="e">
        <f>AND(#REF!,"AAAAAD79+pU=")</f>
        <v>#REF!</v>
      </c>
      <c r="EU24" t="e">
        <f>AND(#REF!,"AAAAAD79+pY=")</f>
        <v>#REF!</v>
      </c>
      <c r="EV24" t="e">
        <f>AND(#REF!,"AAAAAD79+pc=")</f>
        <v>#REF!</v>
      </c>
      <c r="EW24" t="e">
        <f>AND(#REF!,"AAAAAD79+pg=")</f>
        <v>#REF!</v>
      </c>
      <c r="EX24" t="e">
        <f>AND(#REF!,"AAAAAD79+pk=")</f>
        <v>#REF!</v>
      </c>
      <c r="EY24" t="e">
        <f>AND(#REF!,"AAAAAD79+po=")</f>
        <v>#REF!</v>
      </c>
      <c r="EZ24" t="e">
        <f>AND(#REF!,"AAAAAD79+ps=")</f>
        <v>#REF!</v>
      </c>
      <c r="FA24" t="e">
        <f>AND(#REF!,"AAAAAD79+pw=")</f>
        <v>#REF!</v>
      </c>
      <c r="FB24" t="e">
        <f>AND(#REF!,"AAAAAD79+p0=")</f>
        <v>#REF!</v>
      </c>
      <c r="FC24" t="e">
        <f>AND(#REF!,"AAAAAD79+p4=")</f>
        <v>#REF!</v>
      </c>
      <c r="FD24" t="e">
        <f>AND(#REF!,"AAAAAD79+p8=")</f>
        <v>#REF!</v>
      </c>
      <c r="FE24" t="e">
        <f>AND(#REF!,"AAAAAD79+qA=")</f>
        <v>#REF!</v>
      </c>
      <c r="FF24" t="e">
        <f>AND(#REF!,"AAAAAD79+qE=")</f>
        <v>#REF!</v>
      </c>
      <c r="FG24" t="e">
        <f>AND(#REF!,"AAAAAD79+qI=")</f>
        <v>#REF!</v>
      </c>
      <c r="FH24" t="e">
        <f>AND(#REF!,"AAAAAD79+qM=")</f>
        <v>#REF!</v>
      </c>
      <c r="FI24" t="e">
        <f>AND(#REF!,"AAAAAD79+qQ=")</f>
        <v>#REF!</v>
      </c>
      <c r="FJ24" t="e">
        <f>AND(#REF!,"AAAAAD79+qU=")</f>
        <v>#REF!</v>
      </c>
      <c r="FK24" t="e">
        <f>AND(#REF!,"AAAAAD79+qY=")</f>
        <v>#REF!</v>
      </c>
      <c r="FL24" t="e">
        <f>AND(#REF!,"AAAAAD79+qc=")</f>
        <v>#REF!</v>
      </c>
      <c r="FM24" t="e">
        <f>IF(#REF!,"AAAAAD79+qg=",0)</f>
        <v>#REF!</v>
      </c>
      <c r="FN24" t="e">
        <f>AND(#REF!,"AAAAAD79+qk=")</f>
        <v>#REF!</v>
      </c>
      <c r="FO24" t="e">
        <f>AND(#REF!,"AAAAAD79+qo=")</f>
        <v>#REF!</v>
      </c>
      <c r="FP24" t="e">
        <f>AND(#REF!,"AAAAAD79+qs=")</f>
        <v>#REF!</v>
      </c>
      <c r="FQ24" t="e">
        <f>AND(#REF!,"AAAAAD79+qw=")</f>
        <v>#REF!</v>
      </c>
      <c r="FR24" t="e">
        <f>AND(#REF!,"AAAAAD79+q0=")</f>
        <v>#REF!</v>
      </c>
      <c r="FS24" t="e">
        <f>AND(#REF!,"AAAAAD79+q4=")</f>
        <v>#REF!</v>
      </c>
      <c r="FT24" t="e">
        <f>AND(#REF!,"AAAAAD79+q8=")</f>
        <v>#REF!</v>
      </c>
      <c r="FU24" t="e">
        <f>AND(#REF!,"AAAAAD79+rA=")</f>
        <v>#REF!</v>
      </c>
      <c r="FV24" t="e">
        <f>AND(#REF!,"AAAAAD79+rE=")</f>
        <v>#REF!</v>
      </c>
      <c r="FW24" t="e">
        <f>AND(#REF!,"AAAAAD79+rI=")</f>
        <v>#REF!</v>
      </c>
      <c r="FX24" t="e">
        <f>AND(#REF!,"AAAAAD79+rM=")</f>
        <v>#REF!</v>
      </c>
      <c r="FY24" t="e">
        <f>AND(#REF!,"AAAAAD79+rQ=")</f>
        <v>#REF!</v>
      </c>
      <c r="FZ24" t="e">
        <f>AND(#REF!,"AAAAAD79+rU=")</f>
        <v>#REF!</v>
      </c>
      <c r="GA24" t="e">
        <f>AND(#REF!,"AAAAAD79+rY=")</f>
        <v>#REF!</v>
      </c>
      <c r="GB24" t="e">
        <f>AND(#REF!,"AAAAAD79+rc=")</f>
        <v>#REF!</v>
      </c>
      <c r="GC24" t="e">
        <f>AND(#REF!,"AAAAAD79+rg=")</f>
        <v>#REF!</v>
      </c>
      <c r="GD24" t="e">
        <f>AND(#REF!,"AAAAAD79+rk=")</f>
        <v>#REF!</v>
      </c>
      <c r="GE24" t="e">
        <f>AND(#REF!,"AAAAAD79+ro=")</f>
        <v>#REF!</v>
      </c>
      <c r="GF24" t="e">
        <f>AND(#REF!,"AAAAAD79+rs=")</f>
        <v>#REF!</v>
      </c>
      <c r="GG24" t="e">
        <f>AND(#REF!,"AAAAAD79+rw=")</f>
        <v>#REF!</v>
      </c>
      <c r="GH24" t="e">
        <f>IF(#REF!,"AAAAAD79+r0=",0)</f>
        <v>#REF!</v>
      </c>
      <c r="GI24" t="e">
        <f>AND(#REF!,"AAAAAD79+r4=")</f>
        <v>#REF!</v>
      </c>
      <c r="GJ24" t="e">
        <f>AND(#REF!,"AAAAAD79+r8=")</f>
        <v>#REF!</v>
      </c>
      <c r="GK24" t="e">
        <f>AND(#REF!,"AAAAAD79+sA=")</f>
        <v>#REF!</v>
      </c>
      <c r="GL24" t="e">
        <f>AND(#REF!,"AAAAAD79+sE=")</f>
        <v>#REF!</v>
      </c>
      <c r="GM24" t="e">
        <f>AND(#REF!,"AAAAAD79+sI=")</f>
        <v>#REF!</v>
      </c>
      <c r="GN24" t="e">
        <f>AND(#REF!,"AAAAAD79+sM=")</f>
        <v>#REF!</v>
      </c>
      <c r="GO24" t="e">
        <f>AND(#REF!,"AAAAAD79+sQ=")</f>
        <v>#REF!</v>
      </c>
      <c r="GP24" t="e">
        <f>AND(#REF!,"AAAAAD79+sU=")</f>
        <v>#REF!</v>
      </c>
      <c r="GQ24" t="e">
        <f>AND(#REF!,"AAAAAD79+sY=")</f>
        <v>#REF!</v>
      </c>
      <c r="GR24" t="e">
        <f>AND(#REF!,"AAAAAD79+sc=")</f>
        <v>#REF!</v>
      </c>
      <c r="GS24" t="e">
        <f>AND(#REF!,"AAAAAD79+sg=")</f>
        <v>#REF!</v>
      </c>
      <c r="GT24" t="e">
        <f>AND(#REF!,"AAAAAD79+sk=")</f>
        <v>#REF!</v>
      </c>
      <c r="GU24" t="e">
        <f>AND(#REF!,"AAAAAD79+so=")</f>
        <v>#REF!</v>
      </c>
      <c r="GV24" t="e">
        <f>AND(#REF!,"AAAAAD79+ss=")</f>
        <v>#REF!</v>
      </c>
      <c r="GW24" t="e">
        <f>AND(#REF!,"AAAAAD79+sw=")</f>
        <v>#REF!</v>
      </c>
      <c r="GX24" t="e">
        <f>AND(#REF!,"AAAAAD79+s0=")</f>
        <v>#REF!</v>
      </c>
      <c r="GY24" t="e">
        <f>AND(#REF!,"AAAAAD79+s4=")</f>
        <v>#REF!</v>
      </c>
      <c r="GZ24" t="e">
        <f>AND(#REF!,"AAAAAD79+s8=")</f>
        <v>#REF!</v>
      </c>
      <c r="HA24" t="e">
        <f>AND(#REF!,"AAAAAD79+tA=")</f>
        <v>#REF!</v>
      </c>
      <c r="HB24" t="e">
        <f>AND(#REF!,"AAAAAD79+tE=")</f>
        <v>#REF!</v>
      </c>
      <c r="HC24" t="e">
        <f>IF(#REF!,"AAAAAD79+tI=",0)</f>
        <v>#REF!</v>
      </c>
      <c r="HD24" t="e">
        <f>AND(#REF!,"AAAAAD79+tM=")</f>
        <v>#REF!</v>
      </c>
      <c r="HE24" t="e">
        <f>AND(#REF!,"AAAAAD79+tQ=")</f>
        <v>#REF!</v>
      </c>
      <c r="HF24" t="e">
        <f>AND(#REF!,"AAAAAD79+tU=")</f>
        <v>#REF!</v>
      </c>
      <c r="HG24" t="e">
        <f>AND(#REF!,"AAAAAD79+tY=")</f>
        <v>#REF!</v>
      </c>
      <c r="HH24" t="e">
        <f>AND(#REF!,"AAAAAD79+tc=")</f>
        <v>#REF!</v>
      </c>
      <c r="HI24" t="e">
        <f>AND(#REF!,"AAAAAD79+tg=")</f>
        <v>#REF!</v>
      </c>
      <c r="HJ24" t="e">
        <f>AND(#REF!,"AAAAAD79+tk=")</f>
        <v>#REF!</v>
      </c>
      <c r="HK24" t="e">
        <f>AND(#REF!,"AAAAAD79+to=")</f>
        <v>#REF!</v>
      </c>
      <c r="HL24" t="e">
        <f>AND(#REF!,"AAAAAD79+ts=")</f>
        <v>#REF!</v>
      </c>
      <c r="HM24" t="e">
        <f>AND(#REF!,"AAAAAD79+tw=")</f>
        <v>#REF!</v>
      </c>
      <c r="HN24" t="e">
        <f>AND(#REF!,"AAAAAD79+t0=")</f>
        <v>#REF!</v>
      </c>
      <c r="HO24" t="e">
        <f>AND(#REF!,"AAAAAD79+t4=")</f>
        <v>#REF!</v>
      </c>
      <c r="HP24" t="e">
        <f>AND(#REF!,"AAAAAD79+t8=")</f>
        <v>#REF!</v>
      </c>
      <c r="HQ24" t="e">
        <f>AND(#REF!,"AAAAAD79+uA=")</f>
        <v>#REF!</v>
      </c>
      <c r="HR24" t="e">
        <f>AND(#REF!,"AAAAAD79+uE=")</f>
        <v>#REF!</v>
      </c>
      <c r="HS24" t="e">
        <f>AND(#REF!,"AAAAAD79+uI=")</f>
        <v>#REF!</v>
      </c>
      <c r="HT24" t="e">
        <f>AND(#REF!,"AAAAAD79+uM=")</f>
        <v>#REF!</v>
      </c>
      <c r="HU24" t="e">
        <f>AND(#REF!,"AAAAAD79+uQ=")</f>
        <v>#REF!</v>
      </c>
      <c r="HV24" t="e">
        <f>AND(#REF!,"AAAAAD79+uU=")</f>
        <v>#REF!</v>
      </c>
      <c r="HW24" t="e">
        <f>AND(#REF!,"AAAAAD79+uY=")</f>
        <v>#REF!</v>
      </c>
      <c r="HX24" t="e">
        <f>IF(#REF!,"AAAAAD79+uc=",0)</f>
        <v>#REF!</v>
      </c>
      <c r="HY24" t="e">
        <f>AND(#REF!,"AAAAAD79+ug=")</f>
        <v>#REF!</v>
      </c>
      <c r="HZ24" t="e">
        <f>AND(#REF!,"AAAAAD79+uk=")</f>
        <v>#REF!</v>
      </c>
      <c r="IA24" t="e">
        <f>AND(#REF!,"AAAAAD79+uo=")</f>
        <v>#REF!</v>
      </c>
      <c r="IB24" t="e">
        <f>AND(#REF!,"AAAAAD79+us=")</f>
        <v>#REF!</v>
      </c>
      <c r="IC24" t="e">
        <f>AND(#REF!,"AAAAAD79+uw=")</f>
        <v>#REF!</v>
      </c>
      <c r="ID24" t="e">
        <f>AND(#REF!,"AAAAAD79+u0=")</f>
        <v>#REF!</v>
      </c>
      <c r="IE24" t="e">
        <f>AND(#REF!,"AAAAAD79+u4=")</f>
        <v>#REF!</v>
      </c>
      <c r="IF24" t="e">
        <f>AND(#REF!,"AAAAAD79+u8=")</f>
        <v>#REF!</v>
      </c>
      <c r="IG24" t="e">
        <f>AND(#REF!,"AAAAAD79+vA=")</f>
        <v>#REF!</v>
      </c>
      <c r="IH24" t="e">
        <f>AND(#REF!,"AAAAAD79+vE=")</f>
        <v>#REF!</v>
      </c>
      <c r="II24" t="e">
        <f>AND(#REF!,"AAAAAD79+vI=")</f>
        <v>#REF!</v>
      </c>
      <c r="IJ24" t="e">
        <f>AND(#REF!,"AAAAAD79+vM=")</f>
        <v>#REF!</v>
      </c>
      <c r="IK24" t="e">
        <f>AND(#REF!,"AAAAAD79+vQ=")</f>
        <v>#REF!</v>
      </c>
      <c r="IL24" t="e">
        <f>AND(#REF!,"AAAAAD79+vU=")</f>
        <v>#REF!</v>
      </c>
      <c r="IM24" t="e">
        <f>AND(#REF!,"AAAAAD79+vY=")</f>
        <v>#REF!</v>
      </c>
      <c r="IN24" t="e">
        <f>AND(#REF!,"AAAAAD79+vc=")</f>
        <v>#REF!</v>
      </c>
      <c r="IO24" t="e">
        <f>AND(#REF!,"AAAAAD79+vg=")</f>
        <v>#REF!</v>
      </c>
      <c r="IP24" t="e">
        <f>AND(#REF!,"AAAAAD79+vk=")</f>
        <v>#REF!</v>
      </c>
      <c r="IQ24" t="e">
        <f>AND(#REF!,"AAAAAD79+vo=")</f>
        <v>#REF!</v>
      </c>
      <c r="IR24" t="e">
        <f>AND(#REF!,"AAAAAD79+vs=")</f>
        <v>#REF!</v>
      </c>
      <c r="IS24" t="e">
        <f>IF(#REF!,"AAAAAD79+vw=",0)</f>
        <v>#REF!</v>
      </c>
      <c r="IT24" t="e">
        <f>AND(#REF!,"AAAAAD79+v0=")</f>
        <v>#REF!</v>
      </c>
      <c r="IU24" t="e">
        <f>AND(#REF!,"AAAAAD79+v4=")</f>
        <v>#REF!</v>
      </c>
      <c r="IV24" t="e">
        <f>AND(#REF!,"AAAAAD79+v8=")</f>
        <v>#REF!</v>
      </c>
    </row>
    <row r="25" spans="1:256">
      <c r="A25" t="e">
        <f>AND(#REF!,"AAAAAGvv7gA=")</f>
        <v>#REF!</v>
      </c>
      <c r="B25" t="e">
        <f>AND(#REF!,"AAAAAGvv7gE=")</f>
        <v>#REF!</v>
      </c>
      <c r="C25" t="e">
        <f>AND(#REF!,"AAAAAGvv7gI=")</f>
        <v>#REF!</v>
      </c>
      <c r="D25" t="e">
        <f>AND(#REF!,"AAAAAGvv7gM=")</f>
        <v>#REF!</v>
      </c>
      <c r="E25" t="e">
        <f>AND(#REF!,"AAAAAGvv7gQ=")</f>
        <v>#REF!</v>
      </c>
      <c r="F25" t="e">
        <f>AND(#REF!,"AAAAAGvv7gU=")</f>
        <v>#REF!</v>
      </c>
      <c r="G25" t="e">
        <f>AND(#REF!,"AAAAAGvv7gY=")</f>
        <v>#REF!</v>
      </c>
      <c r="H25" t="e">
        <f>AND(#REF!,"AAAAAGvv7gc=")</f>
        <v>#REF!</v>
      </c>
      <c r="I25" t="e">
        <f>AND(#REF!,"AAAAAGvv7gg=")</f>
        <v>#REF!</v>
      </c>
      <c r="J25" t="e">
        <f>AND(#REF!,"AAAAAGvv7gk=")</f>
        <v>#REF!</v>
      </c>
      <c r="K25" t="e">
        <f>AND(#REF!,"AAAAAGvv7go=")</f>
        <v>#REF!</v>
      </c>
      <c r="L25" t="e">
        <f>AND(#REF!,"AAAAAGvv7gs=")</f>
        <v>#REF!</v>
      </c>
      <c r="M25" t="e">
        <f>AND(#REF!,"AAAAAGvv7gw=")</f>
        <v>#REF!</v>
      </c>
      <c r="N25" t="e">
        <f>AND(#REF!,"AAAAAGvv7g0=")</f>
        <v>#REF!</v>
      </c>
      <c r="O25" t="e">
        <f>AND(#REF!,"AAAAAGvv7g4=")</f>
        <v>#REF!</v>
      </c>
      <c r="P25" t="e">
        <f>AND(#REF!,"AAAAAGvv7g8=")</f>
        <v>#REF!</v>
      </c>
      <c r="Q25" t="e">
        <f>AND(#REF!,"AAAAAGvv7hA=")</f>
        <v>#REF!</v>
      </c>
      <c r="R25" t="e">
        <f>IF(#REF!,"AAAAAGvv7hE=",0)</f>
        <v>#REF!</v>
      </c>
      <c r="S25" t="e">
        <f>AND(#REF!,"AAAAAGvv7hI=")</f>
        <v>#REF!</v>
      </c>
      <c r="T25" t="e">
        <f>AND(#REF!,"AAAAAGvv7hM=")</f>
        <v>#REF!</v>
      </c>
      <c r="U25" t="e">
        <f>AND(#REF!,"AAAAAGvv7hQ=")</f>
        <v>#REF!</v>
      </c>
      <c r="V25" t="e">
        <f>AND(#REF!,"AAAAAGvv7hU=")</f>
        <v>#REF!</v>
      </c>
      <c r="W25" t="e">
        <f>AND(#REF!,"AAAAAGvv7hY=")</f>
        <v>#REF!</v>
      </c>
      <c r="X25" t="e">
        <f>AND(#REF!,"AAAAAGvv7hc=")</f>
        <v>#REF!</v>
      </c>
      <c r="Y25" t="e">
        <f>AND(#REF!,"AAAAAGvv7hg=")</f>
        <v>#REF!</v>
      </c>
      <c r="Z25" t="e">
        <f>AND(#REF!,"AAAAAGvv7hk=")</f>
        <v>#REF!</v>
      </c>
      <c r="AA25" t="e">
        <f>AND(#REF!,"AAAAAGvv7ho=")</f>
        <v>#REF!</v>
      </c>
      <c r="AB25" t="e">
        <f>AND(#REF!,"AAAAAGvv7hs=")</f>
        <v>#REF!</v>
      </c>
      <c r="AC25" t="e">
        <f>AND(#REF!,"AAAAAGvv7hw=")</f>
        <v>#REF!</v>
      </c>
      <c r="AD25" t="e">
        <f>AND(#REF!,"AAAAAGvv7h0=")</f>
        <v>#REF!</v>
      </c>
      <c r="AE25" t="e">
        <f>AND(#REF!,"AAAAAGvv7h4=")</f>
        <v>#REF!</v>
      </c>
      <c r="AF25" t="e">
        <f>AND(#REF!,"AAAAAGvv7h8=")</f>
        <v>#REF!</v>
      </c>
      <c r="AG25" t="e">
        <f>AND(#REF!,"AAAAAGvv7iA=")</f>
        <v>#REF!</v>
      </c>
      <c r="AH25" t="e">
        <f>AND(#REF!,"AAAAAGvv7iE=")</f>
        <v>#REF!</v>
      </c>
      <c r="AI25" t="e">
        <f>AND(#REF!,"AAAAAGvv7iI=")</f>
        <v>#REF!</v>
      </c>
      <c r="AJ25" t="e">
        <f>AND(#REF!,"AAAAAGvv7iM=")</f>
        <v>#REF!</v>
      </c>
      <c r="AK25" t="e">
        <f>AND(#REF!,"AAAAAGvv7iQ=")</f>
        <v>#REF!</v>
      </c>
      <c r="AL25" t="e">
        <f>AND(#REF!,"AAAAAGvv7iU=")</f>
        <v>#REF!</v>
      </c>
      <c r="AM25" t="e">
        <f>IF(#REF!,"AAAAAGvv7iY=",0)</f>
        <v>#REF!</v>
      </c>
      <c r="AN25" t="e">
        <f>IF(#REF!,"AAAAAGvv7ic=",0)</f>
        <v>#REF!</v>
      </c>
      <c r="AO25" t="e">
        <f>IF(#REF!,"AAAAAGvv7ig=",0)</f>
        <v>#REF!</v>
      </c>
      <c r="AP25" t="e">
        <f>IF(#REF!,"AAAAAGvv7ik=",0)</f>
        <v>#REF!</v>
      </c>
      <c r="AQ25" t="e">
        <f>IF(#REF!,"AAAAAGvv7io=",0)</f>
        <v>#REF!</v>
      </c>
      <c r="AR25" t="e">
        <f>IF(#REF!,"AAAAAGvv7is=",0)</f>
        <v>#REF!</v>
      </c>
      <c r="AS25" t="e">
        <f>IF(#REF!,"AAAAAGvv7iw=",0)</f>
        <v>#REF!</v>
      </c>
      <c r="AT25" t="e">
        <f>IF(#REF!,"AAAAAGvv7i0=",0)</f>
        <v>#REF!</v>
      </c>
      <c r="AU25" t="e">
        <f>IF(#REF!,"AAAAAGvv7i4=",0)</f>
        <v>#REF!</v>
      </c>
      <c r="AV25" t="e">
        <f>IF(#REF!,"AAAAAGvv7i8=",0)</f>
        <v>#REF!</v>
      </c>
      <c r="AW25" t="e">
        <f>IF(#REF!,"AAAAAGvv7jA=",0)</f>
        <v>#REF!</v>
      </c>
      <c r="AX25" t="e">
        <f>IF(#REF!,"AAAAAGvv7jE=",0)</f>
        <v>#REF!</v>
      </c>
      <c r="AY25" t="e">
        <f>IF(#REF!,"AAAAAGvv7jI=",0)</f>
        <v>#REF!</v>
      </c>
      <c r="AZ25" t="e">
        <f>IF(#REF!,"AAAAAGvv7jM=",0)</f>
        <v>#REF!</v>
      </c>
      <c r="BA25" t="e">
        <f>IF(#REF!,"AAAAAGvv7jQ=",0)</f>
        <v>#REF!</v>
      </c>
      <c r="BB25" t="e">
        <f>IF(#REF!,"AAAAAGvv7jU=",0)</f>
        <v>#REF!</v>
      </c>
      <c r="BC25" t="e">
        <f>IF(#REF!,"AAAAAGvv7jY=",0)</f>
        <v>#REF!</v>
      </c>
      <c r="BD25" t="e">
        <f>IF(#REF!,"AAAAAGvv7jc=",0)</f>
        <v>#REF!</v>
      </c>
      <c r="BE25" t="e">
        <f>IF(#REF!,"AAAAAGvv7jg=",0)</f>
        <v>#REF!</v>
      </c>
      <c r="BF25" t="e">
        <f>IF(#REF!,"AAAAAGvv7jk=",0)</f>
        <v>#REF!</v>
      </c>
      <c r="BG25" t="e">
        <f>IF(#REF!,"AAAAAGvv7jo=",0)</f>
        <v>#REF!</v>
      </c>
      <c r="BH25" t="e">
        <f>IF(#REF!,"AAAAAGvv7js=",0)</f>
        <v>#REF!</v>
      </c>
      <c r="BI25" t="e">
        <f>AND(#REF!,"AAAAAGvv7jw=")</f>
        <v>#REF!</v>
      </c>
      <c r="BJ25" t="e">
        <f>AND(#REF!,"AAAAAGvv7j0=")</f>
        <v>#REF!</v>
      </c>
      <c r="BK25" t="e">
        <f>AND(#REF!,"AAAAAGvv7j4=")</f>
        <v>#REF!</v>
      </c>
      <c r="BL25" t="e">
        <f>AND(#REF!,"AAAAAGvv7j8=")</f>
        <v>#REF!</v>
      </c>
      <c r="BM25" t="e">
        <f>AND(#REF!,"AAAAAGvv7kA=")</f>
        <v>#REF!</v>
      </c>
      <c r="BN25" t="e">
        <f>AND(#REF!,"AAAAAGvv7kE=")</f>
        <v>#REF!</v>
      </c>
      <c r="BO25" t="e">
        <f>AND(#REF!,"AAAAAGvv7kI=")</f>
        <v>#REF!</v>
      </c>
      <c r="BP25" t="e">
        <f>AND(#REF!,"AAAAAGvv7kM=")</f>
        <v>#REF!</v>
      </c>
      <c r="BQ25" t="e">
        <f>AND(#REF!,"AAAAAGvv7kQ=")</f>
        <v>#REF!</v>
      </c>
      <c r="BR25" t="e">
        <f>AND(#REF!,"AAAAAGvv7kU=")</f>
        <v>#REF!</v>
      </c>
      <c r="BS25" t="e">
        <f>AND(#REF!,"AAAAAGvv7kY=")</f>
        <v>#REF!</v>
      </c>
      <c r="BT25" t="e">
        <f>AND(#REF!,"AAAAAGvv7kc=")</f>
        <v>#REF!</v>
      </c>
      <c r="BU25" t="e">
        <f>AND(#REF!,"AAAAAGvv7kg=")</f>
        <v>#REF!</v>
      </c>
      <c r="BV25" t="e">
        <f>AND(#REF!,"AAAAAGvv7kk=")</f>
        <v>#REF!</v>
      </c>
      <c r="BW25" t="e">
        <f>AND(#REF!,"AAAAAGvv7ko=")</f>
        <v>#REF!</v>
      </c>
      <c r="BX25" t="e">
        <f>IF(#REF!,"AAAAAGvv7ks=",0)</f>
        <v>#REF!</v>
      </c>
      <c r="BY25" t="e">
        <f>AND(#REF!,"AAAAAGvv7kw=")</f>
        <v>#REF!</v>
      </c>
      <c r="BZ25" t="e">
        <f>AND(#REF!,"AAAAAGvv7k0=")</f>
        <v>#REF!</v>
      </c>
      <c r="CA25" t="e">
        <f>AND(#REF!,"AAAAAGvv7k4=")</f>
        <v>#REF!</v>
      </c>
      <c r="CB25" t="e">
        <f>AND(#REF!,"AAAAAGvv7k8=")</f>
        <v>#REF!</v>
      </c>
      <c r="CC25" t="e">
        <f>AND(#REF!,"AAAAAGvv7lA=")</f>
        <v>#REF!</v>
      </c>
      <c r="CD25" t="e">
        <f>AND(#REF!,"AAAAAGvv7lE=")</f>
        <v>#REF!</v>
      </c>
      <c r="CE25" t="e">
        <f>AND(#REF!,"AAAAAGvv7lI=")</f>
        <v>#REF!</v>
      </c>
      <c r="CF25" t="e">
        <f>AND(#REF!,"AAAAAGvv7lM=")</f>
        <v>#REF!</v>
      </c>
      <c r="CG25" t="e">
        <f>AND(#REF!,"AAAAAGvv7lQ=")</f>
        <v>#REF!</v>
      </c>
      <c r="CH25" t="e">
        <f>AND(#REF!,"AAAAAGvv7lU=")</f>
        <v>#REF!</v>
      </c>
      <c r="CI25" t="e">
        <f>AND(#REF!,"AAAAAGvv7lY=")</f>
        <v>#REF!</v>
      </c>
      <c r="CJ25" t="e">
        <f>AND(#REF!,"AAAAAGvv7lc=")</f>
        <v>#REF!</v>
      </c>
      <c r="CK25" t="e">
        <f>AND(#REF!,"AAAAAGvv7lg=")</f>
        <v>#REF!</v>
      </c>
      <c r="CL25" t="e">
        <f>AND(#REF!,"AAAAAGvv7lk=")</f>
        <v>#REF!</v>
      </c>
      <c r="CM25" t="e">
        <f>AND(#REF!,"AAAAAGvv7lo=")</f>
        <v>#REF!</v>
      </c>
      <c r="CN25" t="e">
        <f>IF(#REF!,"AAAAAGvv7ls=",0)</f>
        <v>#REF!</v>
      </c>
      <c r="CO25" t="e">
        <f>AND(#REF!,"AAAAAGvv7lw=")</f>
        <v>#REF!</v>
      </c>
      <c r="CP25" t="e">
        <f>AND(#REF!,"AAAAAGvv7l0=")</f>
        <v>#REF!</v>
      </c>
      <c r="CQ25" t="e">
        <f>AND(#REF!,"AAAAAGvv7l4=")</f>
        <v>#REF!</v>
      </c>
      <c r="CR25" t="e">
        <f>AND(#REF!,"AAAAAGvv7l8=")</f>
        <v>#REF!</v>
      </c>
      <c r="CS25" t="e">
        <f>AND(#REF!,"AAAAAGvv7mA=")</f>
        <v>#REF!</v>
      </c>
      <c r="CT25" t="e">
        <f>AND(#REF!,"AAAAAGvv7mE=")</f>
        <v>#REF!</v>
      </c>
      <c r="CU25" t="e">
        <f>AND(#REF!,"AAAAAGvv7mI=")</f>
        <v>#REF!</v>
      </c>
      <c r="CV25" t="e">
        <f>AND(#REF!,"AAAAAGvv7mM=")</f>
        <v>#REF!</v>
      </c>
      <c r="CW25" t="e">
        <f>AND(#REF!,"AAAAAGvv7mQ=")</f>
        <v>#REF!</v>
      </c>
      <c r="CX25" t="e">
        <f>AND(#REF!,"AAAAAGvv7mU=")</f>
        <v>#REF!</v>
      </c>
      <c r="CY25" t="e">
        <f>AND(#REF!,"AAAAAGvv7mY=")</f>
        <v>#REF!</v>
      </c>
      <c r="CZ25" t="e">
        <f>AND(#REF!,"AAAAAGvv7mc=")</f>
        <v>#REF!</v>
      </c>
      <c r="DA25" t="e">
        <f>AND(#REF!,"AAAAAGvv7mg=")</f>
        <v>#REF!</v>
      </c>
      <c r="DB25" t="e">
        <f>AND(#REF!,"AAAAAGvv7mk=")</f>
        <v>#REF!</v>
      </c>
      <c r="DC25" t="e">
        <f>AND(#REF!,"AAAAAGvv7mo=")</f>
        <v>#REF!</v>
      </c>
      <c r="DD25" t="e">
        <f>IF(#REF!,"AAAAAGvv7ms=",0)</f>
        <v>#REF!</v>
      </c>
      <c r="DE25" t="e">
        <f>AND(#REF!,"AAAAAGvv7mw=")</f>
        <v>#REF!</v>
      </c>
      <c r="DF25" t="e">
        <f>AND(#REF!,"AAAAAGvv7m0=")</f>
        <v>#REF!</v>
      </c>
      <c r="DG25" t="e">
        <f>AND(#REF!,"AAAAAGvv7m4=")</f>
        <v>#REF!</v>
      </c>
      <c r="DH25" t="e">
        <f>AND(#REF!,"AAAAAGvv7m8=")</f>
        <v>#REF!</v>
      </c>
      <c r="DI25" t="e">
        <f>AND(#REF!,"AAAAAGvv7nA=")</f>
        <v>#REF!</v>
      </c>
      <c r="DJ25" t="e">
        <f>AND(#REF!,"AAAAAGvv7nE=")</f>
        <v>#REF!</v>
      </c>
      <c r="DK25" t="e">
        <f>AND(#REF!,"AAAAAGvv7nI=")</f>
        <v>#REF!</v>
      </c>
      <c r="DL25" t="e">
        <f>AND(#REF!,"AAAAAGvv7nM=")</f>
        <v>#REF!</v>
      </c>
      <c r="DM25" t="e">
        <f>AND(#REF!,"AAAAAGvv7nQ=")</f>
        <v>#REF!</v>
      </c>
      <c r="DN25" t="e">
        <f>AND(#REF!,"AAAAAGvv7nU=")</f>
        <v>#REF!</v>
      </c>
      <c r="DO25" t="e">
        <f>AND(#REF!,"AAAAAGvv7nY=")</f>
        <v>#REF!</v>
      </c>
      <c r="DP25" t="e">
        <f>AND(#REF!,"AAAAAGvv7nc=")</f>
        <v>#REF!</v>
      </c>
      <c r="DQ25" t="e">
        <f>AND(#REF!,"AAAAAGvv7ng=")</f>
        <v>#REF!</v>
      </c>
      <c r="DR25" t="e">
        <f>AND(#REF!,"AAAAAGvv7nk=")</f>
        <v>#REF!</v>
      </c>
      <c r="DS25" t="e">
        <f>AND(#REF!,"AAAAAGvv7no=")</f>
        <v>#REF!</v>
      </c>
      <c r="DT25" t="e">
        <f>IF(#REF!,"AAAAAGvv7ns=",0)</f>
        <v>#REF!</v>
      </c>
      <c r="DU25" t="e">
        <f>AND(#REF!,"AAAAAGvv7nw=")</f>
        <v>#REF!</v>
      </c>
      <c r="DV25" t="e">
        <f>AND(#REF!,"AAAAAGvv7n0=")</f>
        <v>#REF!</v>
      </c>
      <c r="DW25" t="e">
        <f>AND(#REF!,"AAAAAGvv7n4=")</f>
        <v>#REF!</v>
      </c>
      <c r="DX25" t="e">
        <f>AND(#REF!,"AAAAAGvv7n8=")</f>
        <v>#REF!</v>
      </c>
      <c r="DY25" t="e">
        <f>AND(#REF!,"AAAAAGvv7oA=")</f>
        <v>#REF!</v>
      </c>
      <c r="DZ25" t="e">
        <f>AND(#REF!,"AAAAAGvv7oE=")</f>
        <v>#REF!</v>
      </c>
      <c r="EA25" t="e">
        <f>AND(#REF!,"AAAAAGvv7oI=")</f>
        <v>#REF!</v>
      </c>
      <c r="EB25" t="e">
        <f>AND(#REF!,"AAAAAGvv7oM=")</f>
        <v>#REF!</v>
      </c>
      <c r="EC25" t="e">
        <f>AND(#REF!,"AAAAAGvv7oQ=")</f>
        <v>#REF!</v>
      </c>
      <c r="ED25" t="e">
        <f>AND(#REF!,"AAAAAGvv7oU=")</f>
        <v>#REF!</v>
      </c>
      <c r="EE25" t="e">
        <f>AND(#REF!,"AAAAAGvv7oY=")</f>
        <v>#REF!</v>
      </c>
      <c r="EF25" t="e">
        <f>AND(#REF!,"AAAAAGvv7oc=")</f>
        <v>#REF!</v>
      </c>
      <c r="EG25" t="e">
        <f>AND(#REF!,"AAAAAGvv7og=")</f>
        <v>#REF!</v>
      </c>
      <c r="EH25" t="e">
        <f>AND(#REF!,"AAAAAGvv7ok=")</f>
        <v>#REF!</v>
      </c>
      <c r="EI25" t="e">
        <f>AND(#REF!,"AAAAAGvv7oo=")</f>
        <v>#REF!</v>
      </c>
      <c r="EJ25" t="e">
        <f>IF(#REF!,"AAAAAGvv7os=",0)</f>
        <v>#REF!</v>
      </c>
      <c r="EK25" t="e">
        <f>AND(#REF!,"AAAAAGvv7ow=")</f>
        <v>#REF!</v>
      </c>
      <c r="EL25" t="e">
        <f>AND(#REF!,"AAAAAGvv7o0=")</f>
        <v>#REF!</v>
      </c>
      <c r="EM25" t="e">
        <f>AND(#REF!,"AAAAAGvv7o4=")</f>
        <v>#REF!</v>
      </c>
      <c r="EN25" t="e">
        <f>AND(#REF!,"AAAAAGvv7o8=")</f>
        <v>#REF!</v>
      </c>
      <c r="EO25" t="e">
        <f>AND(#REF!,"AAAAAGvv7pA=")</f>
        <v>#REF!</v>
      </c>
      <c r="EP25" t="e">
        <f>AND(#REF!,"AAAAAGvv7pE=")</f>
        <v>#REF!</v>
      </c>
      <c r="EQ25" t="e">
        <f>AND(#REF!,"AAAAAGvv7pI=")</f>
        <v>#REF!</v>
      </c>
      <c r="ER25" t="e">
        <f>AND(#REF!,"AAAAAGvv7pM=")</f>
        <v>#REF!</v>
      </c>
      <c r="ES25" t="e">
        <f>AND(#REF!,"AAAAAGvv7pQ=")</f>
        <v>#REF!</v>
      </c>
      <c r="ET25" t="e">
        <f>AND(#REF!,"AAAAAGvv7pU=")</f>
        <v>#REF!</v>
      </c>
      <c r="EU25" t="e">
        <f>AND(#REF!,"AAAAAGvv7pY=")</f>
        <v>#REF!</v>
      </c>
      <c r="EV25" t="e">
        <f>AND(#REF!,"AAAAAGvv7pc=")</f>
        <v>#REF!</v>
      </c>
      <c r="EW25" t="e">
        <f>AND(#REF!,"AAAAAGvv7pg=")</f>
        <v>#REF!</v>
      </c>
      <c r="EX25" t="e">
        <f>AND(#REF!,"AAAAAGvv7pk=")</f>
        <v>#REF!</v>
      </c>
      <c r="EY25" t="e">
        <f>AND(#REF!,"AAAAAGvv7po=")</f>
        <v>#REF!</v>
      </c>
      <c r="EZ25" t="e">
        <f>IF(#REF!,"AAAAAGvv7ps=",0)</f>
        <v>#REF!</v>
      </c>
      <c r="FA25" t="e">
        <f>AND(#REF!,"AAAAAGvv7pw=")</f>
        <v>#REF!</v>
      </c>
      <c r="FB25" t="e">
        <f>AND(#REF!,"AAAAAGvv7p0=")</f>
        <v>#REF!</v>
      </c>
      <c r="FC25" t="e">
        <f>AND(#REF!,"AAAAAGvv7p4=")</f>
        <v>#REF!</v>
      </c>
      <c r="FD25" t="e">
        <f>AND(#REF!,"AAAAAGvv7p8=")</f>
        <v>#REF!</v>
      </c>
      <c r="FE25" t="e">
        <f>AND(#REF!,"AAAAAGvv7qA=")</f>
        <v>#REF!</v>
      </c>
      <c r="FF25" t="e">
        <f>AND(#REF!,"AAAAAGvv7qE=")</f>
        <v>#REF!</v>
      </c>
      <c r="FG25" t="e">
        <f>AND(#REF!,"AAAAAGvv7qI=")</f>
        <v>#REF!</v>
      </c>
      <c r="FH25" t="e">
        <f>AND(#REF!,"AAAAAGvv7qM=")</f>
        <v>#REF!</v>
      </c>
      <c r="FI25" t="e">
        <f>AND(#REF!,"AAAAAGvv7qQ=")</f>
        <v>#REF!</v>
      </c>
      <c r="FJ25" t="e">
        <f>AND(#REF!,"AAAAAGvv7qU=")</f>
        <v>#REF!</v>
      </c>
      <c r="FK25" t="e">
        <f>AND(#REF!,"AAAAAGvv7qY=")</f>
        <v>#REF!</v>
      </c>
      <c r="FL25" t="e">
        <f>AND(#REF!,"AAAAAGvv7qc=")</f>
        <v>#REF!</v>
      </c>
      <c r="FM25" t="e">
        <f>AND(#REF!,"AAAAAGvv7qg=")</f>
        <v>#REF!</v>
      </c>
      <c r="FN25" t="e">
        <f>AND(#REF!,"AAAAAGvv7qk=")</f>
        <v>#REF!</v>
      </c>
      <c r="FO25" t="e">
        <f>AND(#REF!,"AAAAAGvv7qo=")</f>
        <v>#REF!</v>
      </c>
      <c r="FP25" t="e">
        <f>IF(#REF!,"AAAAAGvv7qs=",0)</f>
        <v>#REF!</v>
      </c>
      <c r="FQ25" t="e">
        <f>AND(#REF!,"AAAAAGvv7qw=")</f>
        <v>#REF!</v>
      </c>
      <c r="FR25" t="e">
        <f>AND(#REF!,"AAAAAGvv7q0=")</f>
        <v>#REF!</v>
      </c>
      <c r="FS25" t="e">
        <f>AND(#REF!,"AAAAAGvv7q4=")</f>
        <v>#REF!</v>
      </c>
      <c r="FT25" t="e">
        <f>AND(#REF!,"AAAAAGvv7q8=")</f>
        <v>#REF!</v>
      </c>
      <c r="FU25" t="e">
        <f>AND(#REF!,"AAAAAGvv7rA=")</f>
        <v>#REF!</v>
      </c>
      <c r="FV25" t="e">
        <f>AND(#REF!,"AAAAAGvv7rE=")</f>
        <v>#REF!</v>
      </c>
      <c r="FW25" t="e">
        <f>AND(#REF!,"AAAAAGvv7rI=")</f>
        <v>#REF!</v>
      </c>
      <c r="FX25" t="e">
        <f>AND(#REF!,"AAAAAGvv7rM=")</f>
        <v>#REF!</v>
      </c>
      <c r="FY25" t="e">
        <f>AND(#REF!,"AAAAAGvv7rQ=")</f>
        <v>#REF!</v>
      </c>
      <c r="FZ25" t="e">
        <f>AND(#REF!,"AAAAAGvv7rU=")</f>
        <v>#REF!</v>
      </c>
      <c r="GA25" t="e">
        <f>AND(#REF!,"AAAAAGvv7rY=")</f>
        <v>#REF!</v>
      </c>
      <c r="GB25" t="e">
        <f>AND(#REF!,"AAAAAGvv7rc=")</f>
        <v>#REF!</v>
      </c>
      <c r="GC25" t="e">
        <f>AND(#REF!,"AAAAAGvv7rg=")</f>
        <v>#REF!</v>
      </c>
      <c r="GD25" t="e">
        <f>AND(#REF!,"AAAAAGvv7rk=")</f>
        <v>#REF!</v>
      </c>
      <c r="GE25" t="e">
        <f>AND(#REF!,"AAAAAGvv7ro=")</f>
        <v>#REF!</v>
      </c>
      <c r="GF25" t="e">
        <f>IF(#REF!,"AAAAAGvv7rs=",0)</f>
        <v>#REF!</v>
      </c>
      <c r="GG25" t="e">
        <f>AND(#REF!,"AAAAAGvv7rw=")</f>
        <v>#REF!</v>
      </c>
      <c r="GH25" t="e">
        <f>AND(#REF!,"AAAAAGvv7r0=")</f>
        <v>#REF!</v>
      </c>
      <c r="GI25" t="e">
        <f>AND(#REF!,"AAAAAGvv7r4=")</f>
        <v>#REF!</v>
      </c>
      <c r="GJ25" t="e">
        <f>AND(#REF!,"AAAAAGvv7r8=")</f>
        <v>#REF!</v>
      </c>
      <c r="GK25" t="e">
        <f>AND(#REF!,"AAAAAGvv7sA=")</f>
        <v>#REF!</v>
      </c>
      <c r="GL25" t="e">
        <f>AND(#REF!,"AAAAAGvv7sE=")</f>
        <v>#REF!</v>
      </c>
      <c r="GM25" t="e">
        <f>AND(#REF!,"AAAAAGvv7sI=")</f>
        <v>#REF!</v>
      </c>
      <c r="GN25" t="e">
        <f>AND(#REF!,"AAAAAGvv7sM=")</f>
        <v>#REF!</v>
      </c>
      <c r="GO25" t="e">
        <f>AND(#REF!,"AAAAAGvv7sQ=")</f>
        <v>#REF!</v>
      </c>
      <c r="GP25" t="e">
        <f>AND(#REF!,"AAAAAGvv7sU=")</f>
        <v>#REF!</v>
      </c>
      <c r="GQ25" t="e">
        <f>AND(#REF!,"AAAAAGvv7sY=")</f>
        <v>#REF!</v>
      </c>
      <c r="GR25" t="e">
        <f>AND(#REF!,"AAAAAGvv7sc=")</f>
        <v>#REF!</v>
      </c>
      <c r="GS25" t="e">
        <f>AND(#REF!,"AAAAAGvv7sg=")</f>
        <v>#REF!</v>
      </c>
      <c r="GT25" t="e">
        <f>AND(#REF!,"AAAAAGvv7sk=")</f>
        <v>#REF!</v>
      </c>
      <c r="GU25" t="e">
        <f>AND(#REF!,"AAAAAGvv7so=")</f>
        <v>#REF!</v>
      </c>
      <c r="GV25" t="e">
        <f>IF(#REF!,"AAAAAGvv7ss=",0)</f>
        <v>#REF!</v>
      </c>
      <c r="GW25" t="e">
        <f>AND(#REF!,"AAAAAGvv7sw=")</f>
        <v>#REF!</v>
      </c>
      <c r="GX25" t="e">
        <f>AND(#REF!,"AAAAAGvv7s0=")</f>
        <v>#REF!</v>
      </c>
      <c r="GY25" t="e">
        <f>AND(#REF!,"AAAAAGvv7s4=")</f>
        <v>#REF!</v>
      </c>
      <c r="GZ25" t="e">
        <f>AND(#REF!,"AAAAAGvv7s8=")</f>
        <v>#REF!</v>
      </c>
      <c r="HA25" t="e">
        <f>AND(#REF!,"AAAAAGvv7tA=")</f>
        <v>#REF!</v>
      </c>
      <c r="HB25" t="e">
        <f>AND(#REF!,"AAAAAGvv7tE=")</f>
        <v>#REF!</v>
      </c>
      <c r="HC25" t="e">
        <f>AND(#REF!,"AAAAAGvv7tI=")</f>
        <v>#REF!</v>
      </c>
      <c r="HD25" t="e">
        <f>AND(#REF!,"AAAAAGvv7tM=")</f>
        <v>#REF!</v>
      </c>
      <c r="HE25" t="e">
        <f>AND(#REF!,"AAAAAGvv7tQ=")</f>
        <v>#REF!</v>
      </c>
      <c r="HF25" t="e">
        <f>AND(#REF!,"AAAAAGvv7tU=")</f>
        <v>#REF!</v>
      </c>
      <c r="HG25" t="e">
        <f>AND(#REF!,"AAAAAGvv7tY=")</f>
        <v>#REF!</v>
      </c>
      <c r="HH25" t="e">
        <f>AND(#REF!,"AAAAAGvv7tc=")</f>
        <v>#REF!</v>
      </c>
      <c r="HI25" t="e">
        <f>AND(#REF!,"AAAAAGvv7tg=")</f>
        <v>#REF!</v>
      </c>
      <c r="HJ25" t="e">
        <f>AND(#REF!,"AAAAAGvv7tk=")</f>
        <v>#REF!</v>
      </c>
      <c r="HK25" t="e">
        <f>AND(#REF!,"AAAAAGvv7to=")</f>
        <v>#REF!</v>
      </c>
      <c r="HL25" t="e">
        <f>IF(#REF!,"AAAAAGvv7ts=",0)</f>
        <v>#REF!</v>
      </c>
      <c r="HM25" t="e">
        <f>AND(#REF!,"AAAAAGvv7tw=")</f>
        <v>#REF!</v>
      </c>
      <c r="HN25" t="e">
        <f>AND(#REF!,"AAAAAGvv7t0=")</f>
        <v>#REF!</v>
      </c>
      <c r="HO25" t="e">
        <f>AND(#REF!,"AAAAAGvv7t4=")</f>
        <v>#REF!</v>
      </c>
      <c r="HP25" t="e">
        <f>AND(#REF!,"AAAAAGvv7t8=")</f>
        <v>#REF!</v>
      </c>
      <c r="HQ25" t="e">
        <f>AND(#REF!,"AAAAAGvv7uA=")</f>
        <v>#REF!</v>
      </c>
      <c r="HR25" t="e">
        <f>AND(#REF!,"AAAAAGvv7uE=")</f>
        <v>#REF!</v>
      </c>
      <c r="HS25" t="e">
        <f>AND(#REF!,"AAAAAGvv7uI=")</f>
        <v>#REF!</v>
      </c>
      <c r="HT25" t="e">
        <f>AND(#REF!,"AAAAAGvv7uM=")</f>
        <v>#REF!</v>
      </c>
      <c r="HU25" t="e">
        <f>AND(#REF!,"AAAAAGvv7uQ=")</f>
        <v>#REF!</v>
      </c>
      <c r="HV25" t="e">
        <f>AND(#REF!,"AAAAAGvv7uU=")</f>
        <v>#REF!</v>
      </c>
      <c r="HW25" t="e">
        <f>AND(#REF!,"AAAAAGvv7uY=")</f>
        <v>#REF!</v>
      </c>
      <c r="HX25" t="e">
        <f>AND(#REF!,"AAAAAGvv7uc=")</f>
        <v>#REF!</v>
      </c>
      <c r="HY25" t="e">
        <f>AND(#REF!,"AAAAAGvv7ug=")</f>
        <v>#REF!</v>
      </c>
      <c r="HZ25" t="e">
        <f>AND(#REF!,"AAAAAGvv7uk=")</f>
        <v>#REF!</v>
      </c>
      <c r="IA25" t="e">
        <f>AND(#REF!,"AAAAAGvv7uo=")</f>
        <v>#REF!</v>
      </c>
      <c r="IB25" t="e">
        <f>IF(#REF!,"AAAAAGvv7us=",0)</f>
        <v>#REF!</v>
      </c>
      <c r="IC25" t="e">
        <f>AND(#REF!,"AAAAAGvv7uw=")</f>
        <v>#REF!</v>
      </c>
      <c r="ID25" t="e">
        <f>AND(#REF!,"AAAAAGvv7u0=")</f>
        <v>#REF!</v>
      </c>
      <c r="IE25" t="e">
        <f>AND(#REF!,"AAAAAGvv7u4=")</f>
        <v>#REF!</v>
      </c>
      <c r="IF25" t="e">
        <f>AND(#REF!,"AAAAAGvv7u8=")</f>
        <v>#REF!</v>
      </c>
      <c r="IG25" t="e">
        <f>AND(#REF!,"AAAAAGvv7vA=")</f>
        <v>#REF!</v>
      </c>
      <c r="IH25" t="e">
        <f>AND(#REF!,"AAAAAGvv7vE=")</f>
        <v>#REF!</v>
      </c>
      <c r="II25" t="e">
        <f>AND(#REF!,"AAAAAGvv7vI=")</f>
        <v>#REF!</v>
      </c>
      <c r="IJ25" t="e">
        <f>AND(#REF!,"AAAAAGvv7vM=")</f>
        <v>#REF!</v>
      </c>
      <c r="IK25" t="e">
        <f>AND(#REF!,"AAAAAGvv7vQ=")</f>
        <v>#REF!</v>
      </c>
      <c r="IL25" t="e">
        <f>AND(#REF!,"AAAAAGvv7vU=")</f>
        <v>#REF!</v>
      </c>
      <c r="IM25" t="e">
        <f>AND(#REF!,"AAAAAGvv7vY=")</f>
        <v>#REF!</v>
      </c>
      <c r="IN25" t="e">
        <f>AND(#REF!,"AAAAAGvv7vc=")</f>
        <v>#REF!</v>
      </c>
      <c r="IO25" t="e">
        <f>AND(#REF!,"AAAAAGvv7vg=")</f>
        <v>#REF!</v>
      </c>
      <c r="IP25" t="e">
        <f>AND(#REF!,"AAAAAGvv7vk=")</f>
        <v>#REF!</v>
      </c>
      <c r="IQ25" t="e">
        <f>AND(#REF!,"AAAAAGvv7vo=")</f>
        <v>#REF!</v>
      </c>
      <c r="IR25" t="e">
        <f>IF(#REF!,"AAAAAGvv7vs=",0)</f>
        <v>#REF!</v>
      </c>
      <c r="IS25" t="e">
        <f>AND(#REF!,"AAAAAGvv7vw=")</f>
        <v>#REF!</v>
      </c>
      <c r="IT25" t="e">
        <f>AND(#REF!,"AAAAAGvv7v0=")</f>
        <v>#REF!</v>
      </c>
      <c r="IU25" t="e">
        <f>AND(#REF!,"AAAAAGvv7v4=")</f>
        <v>#REF!</v>
      </c>
      <c r="IV25" t="e">
        <f>AND(#REF!,"AAAAAGvv7v8=")</f>
        <v>#REF!</v>
      </c>
    </row>
    <row r="26" spans="1:256">
      <c r="A26" t="e">
        <f>AND(#REF!,"AAAAAA9y+wA=")</f>
        <v>#REF!</v>
      </c>
      <c r="B26" t="e">
        <f>AND(#REF!,"AAAAAA9y+wE=")</f>
        <v>#REF!</v>
      </c>
      <c r="C26" t="e">
        <f>AND(#REF!,"AAAAAA9y+wI=")</f>
        <v>#REF!</v>
      </c>
      <c r="D26" t="e">
        <f>AND(#REF!,"AAAAAA9y+wM=")</f>
        <v>#REF!</v>
      </c>
      <c r="E26" t="e">
        <f>AND(#REF!,"AAAAAA9y+wQ=")</f>
        <v>#REF!</v>
      </c>
      <c r="F26" t="e">
        <f>AND(#REF!,"AAAAAA9y+wU=")</f>
        <v>#REF!</v>
      </c>
      <c r="G26" t="e">
        <f>AND(#REF!,"AAAAAA9y+wY=")</f>
        <v>#REF!</v>
      </c>
      <c r="H26" t="e">
        <f>AND(#REF!,"AAAAAA9y+wc=")</f>
        <v>#REF!</v>
      </c>
      <c r="I26" t="e">
        <f>AND(#REF!,"AAAAAA9y+wg=")</f>
        <v>#REF!</v>
      </c>
      <c r="J26" t="e">
        <f>AND(#REF!,"AAAAAA9y+wk=")</f>
        <v>#REF!</v>
      </c>
      <c r="K26" t="e">
        <f>AND(#REF!,"AAAAAA9y+wo=")</f>
        <v>#REF!</v>
      </c>
      <c r="L26" t="e">
        <f>IF(#REF!,"AAAAAA9y+ws=",0)</f>
        <v>#REF!</v>
      </c>
      <c r="M26" t="e">
        <f>AND(#REF!,"AAAAAA9y+ww=")</f>
        <v>#REF!</v>
      </c>
      <c r="N26" t="e">
        <f>AND(#REF!,"AAAAAA9y+w0=")</f>
        <v>#REF!</v>
      </c>
      <c r="O26" t="e">
        <f>AND(#REF!,"AAAAAA9y+w4=")</f>
        <v>#REF!</v>
      </c>
      <c r="P26" t="e">
        <f>AND(#REF!,"AAAAAA9y+w8=")</f>
        <v>#REF!</v>
      </c>
      <c r="Q26" t="e">
        <f>AND(#REF!,"AAAAAA9y+xA=")</f>
        <v>#REF!</v>
      </c>
      <c r="R26" t="e">
        <f>AND(#REF!,"AAAAAA9y+xE=")</f>
        <v>#REF!</v>
      </c>
      <c r="S26" t="e">
        <f>AND(#REF!,"AAAAAA9y+xI=")</f>
        <v>#REF!</v>
      </c>
      <c r="T26" t="e">
        <f>AND(#REF!,"AAAAAA9y+xM=")</f>
        <v>#REF!</v>
      </c>
      <c r="U26" t="e">
        <f>AND(#REF!,"AAAAAA9y+xQ=")</f>
        <v>#REF!</v>
      </c>
      <c r="V26" t="e">
        <f>AND(#REF!,"AAAAAA9y+xU=")</f>
        <v>#REF!</v>
      </c>
      <c r="W26" t="e">
        <f>AND(#REF!,"AAAAAA9y+xY=")</f>
        <v>#REF!</v>
      </c>
      <c r="X26" t="e">
        <f>AND(#REF!,"AAAAAA9y+xc=")</f>
        <v>#REF!</v>
      </c>
      <c r="Y26" t="e">
        <f>AND(#REF!,"AAAAAA9y+xg=")</f>
        <v>#REF!</v>
      </c>
      <c r="Z26" t="e">
        <f>AND(#REF!,"AAAAAA9y+xk=")</f>
        <v>#REF!</v>
      </c>
      <c r="AA26" t="e">
        <f>AND(#REF!,"AAAAAA9y+xo=")</f>
        <v>#REF!</v>
      </c>
      <c r="AB26" t="e">
        <f>IF(#REF!,"AAAAAA9y+xs=",0)</f>
        <v>#REF!</v>
      </c>
      <c r="AC26" t="e">
        <f>AND(#REF!,"AAAAAA9y+xw=")</f>
        <v>#REF!</v>
      </c>
      <c r="AD26" t="e">
        <f>AND(#REF!,"AAAAAA9y+x0=")</f>
        <v>#REF!</v>
      </c>
      <c r="AE26" t="e">
        <f>AND(#REF!,"AAAAAA9y+x4=")</f>
        <v>#REF!</v>
      </c>
      <c r="AF26" t="e">
        <f>AND(#REF!,"AAAAAA9y+x8=")</f>
        <v>#REF!</v>
      </c>
      <c r="AG26" t="e">
        <f>AND(#REF!,"AAAAAA9y+yA=")</f>
        <v>#REF!</v>
      </c>
      <c r="AH26" t="e">
        <f>AND(#REF!,"AAAAAA9y+yE=")</f>
        <v>#REF!</v>
      </c>
      <c r="AI26" t="e">
        <f>AND(#REF!,"AAAAAA9y+yI=")</f>
        <v>#REF!</v>
      </c>
      <c r="AJ26" t="e">
        <f>AND(#REF!,"AAAAAA9y+yM=")</f>
        <v>#REF!</v>
      </c>
      <c r="AK26" t="e">
        <f>AND(#REF!,"AAAAAA9y+yQ=")</f>
        <v>#REF!</v>
      </c>
      <c r="AL26" t="e">
        <f>AND(#REF!,"AAAAAA9y+yU=")</f>
        <v>#REF!</v>
      </c>
      <c r="AM26" t="e">
        <f>AND(#REF!,"AAAAAA9y+yY=")</f>
        <v>#REF!</v>
      </c>
      <c r="AN26" t="e">
        <f>AND(#REF!,"AAAAAA9y+yc=")</f>
        <v>#REF!</v>
      </c>
      <c r="AO26" t="e">
        <f>AND(#REF!,"AAAAAA9y+yg=")</f>
        <v>#REF!</v>
      </c>
      <c r="AP26" t="e">
        <f>AND(#REF!,"AAAAAA9y+yk=")</f>
        <v>#REF!</v>
      </c>
      <c r="AQ26" t="e">
        <f>AND(#REF!,"AAAAAA9y+yo=")</f>
        <v>#REF!</v>
      </c>
      <c r="AR26" t="e">
        <f>IF(#REF!,"AAAAAA9y+ys=",0)</f>
        <v>#REF!</v>
      </c>
      <c r="AS26" t="e">
        <f>AND(#REF!,"AAAAAA9y+yw=")</f>
        <v>#REF!</v>
      </c>
      <c r="AT26" t="e">
        <f>AND(#REF!,"AAAAAA9y+y0=")</f>
        <v>#REF!</v>
      </c>
      <c r="AU26" t="e">
        <f>AND(#REF!,"AAAAAA9y+y4=")</f>
        <v>#REF!</v>
      </c>
      <c r="AV26" t="e">
        <f>AND(#REF!,"AAAAAA9y+y8=")</f>
        <v>#REF!</v>
      </c>
      <c r="AW26" t="e">
        <f>AND(#REF!,"AAAAAA9y+zA=")</f>
        <v>#REF!</v>
      </c>
      <c r="AX26" t="e">
        <f>AND(#REF!,"AAAAAA9y+zE=")</f>
        <v>#REF!</v>
      </c>
      <c r="AY26" t="e">
        <f>AND(#REF!,"AAAAAA9y+zI=")</f>
        <v>#REF!</v>
      </c>
      <c r="AZ26" t="e">
        <f>AND(#REF!,"AAAAAA9y+zM=")</f>
        <v>#REF!</v>
      </c>
      <c r="BA26" t="e">
        <f>AND(#REF!,"AAAAAA9y+zQ=")</f>
        <v>#REF!</v>
      </c>
      <c r="BB26" t="e">
        <f>AND(#REF!,"AAAAAA9y+zU=")</f>
        <v>#REF!</v>
      </c>
      <c r="BC26" t="e">
        <f>AND(#REF!,"AAAAAA9y+zY=")</f>
        <v>#REF!</v>
      </c>
      <c r="BD26" t="e">
        <f>AND(#REF!,"AAAAAA9y+zc=")</f>
        <v>#REF!</v>
      </c>
      <c r="BE26" t="e">
        <f>AND(#REF!,"AAAAAA9y+zg=")</f>
        <v>#REF!</v>
      </c>
      <c r="BF26" t="e">
        <f>AND(#REF!,"AAAAAA9y+zk=")</f>
        <v>#REF!</v>
      </c>
      <c r="BG26" t="e">
        <f>AND(#REF!,"AAAAAA9y+zo=")</f>
        <v>#REF!</v>
      </c>
      <c r="BH26" t="e">
        <f>IF(#REF!,"AAAAAA9y+zs=",0)</f>
        <v>#REF!</v>
      </c>
      <c r="BI26" t="e">
        <f>AND(#REF!,"AAAAAA9y+zw=")</f>
        <v>#REF!</v>
      </c>
      <c r="BJ26" t="e">
        <f>AND(#REF!,"AAAAAA9y+z0=")</f>
        <v>#REF!</v>
      </c>
      <c r="BK26" t="e">
        <f>AND(#REF!,"AAAAAA9y+z4=")</f>
        <v>#REF!</v>
      </c>
      <c r="BL26" t="e">
        <f>AND(#REF!,"AAAAAA9y+z8=")</f>
        <v>#REF!</v>
      </c>
      <c r="BM26" t="e">
        <f>AND(#REF!,"AAAAAA9y+0A=")</f>
        <v>#REF!</v>
      </c>
      <c r="BN26" t="e">
        <f>AND(#REF!,"AAAAAA9y+0E=")</f>
        <v>#REF!</v>
      </c>
      <c r="BO26" t="e">
        <f>AND(#REF!,"AAAAAA9y+0I=")</f>
        <v>#REF!</v>
      </c>
      <c r="BP26" t="e">
        <f>AND(#REF!,"AAAAAA9y+0M=")</f>
        <v>#REF!</v>
      </c>
      <c r="BQ26" t="e">
        <f>AND(#REF!,"AAAAAA9y+0Q=")</f>
        <v>#REF!</v>
      </c>
      <c r="BR26" t="e">
        <f>AND(#REF!,"AAAAAA9y+0U=")</f>
        <v>#REF!</v>
      </c>
      <c r="BS26" t="e">
        <f>AND(#REF!,"AAAAAA9y+0Y=")</f>
        <v>#REF!</v>
      </c>
      <c r="BT26" t="e">
        <f>AND(#REF!,"AAAAAA9y+0c=")</f>
        <v>#REF!</v>
      </c>
      <c r="BU26" t="e">
        <f>AND(#REF!,"AAAAAA9y+0g=")</f>
        <v>#REF!</v>
      </c>
      <c r="BV26" t="e">
        <f>AND(#REF!,"AAAAAA9y+0k=")</f>
        <v>#REF!</v>
      </c>
      <c r="BW26" t="e">
        <f>AND(#REF!,"AAAAAA9y+0o=")</f>
        <v>#REF!</v>
      </c>
      <c r="BX26" t="e">
        <f>IF(#REF!,"AAAAAA9y+0s=",0)</f>
        <v>#REF!</v>
      </c>
      <c r="BY26" t="e">
        <f>AND(#REF!,"AAAAAA9y+0w=")</f>
        <v>#REF!</v>
      </c>
      <c r="BZ26" t="e">
        <f>AND(#REF!,"AAAAAA9y+00=")</f>
        <v>#REF!</v>
      </c>
      <c r="CA26" t="e">
        <f>AND(#REF!,"AAAAAA9y+04=")</f>
        <v>#REF!</v>
      </c>
      <c r="CB26" t="e">
        <f>AND(#REF!,"AAAAAA9y+08=")</f>
        <v>#REF!</v>
      </c>
      <c r="CC26" t="e">
        <f>AND(#REF!,"AAAAAA9y+1A=")</f>
        <v>#REF!</v>
      </c>
      <c r="CD26" t="e">
        <f>AND(#REF!,"AAAAAA9y+1E=")</f>
        <v>#REF!</v>
      </c>
      <c r="CE26" t="e">
        <f>AND(#REF!,"AAAAAA9y+1I=")</f>
        <v>#REF!</v>
      </c>
      <c r="CF26" t="e">
        <f>AND(#REF!,"AAAAAA9y+1M=")</f>
        <v>#REF!</v>
      </c>
      <c r="CG26" t="e">
        <f>AND(#REF!,"AAAAAA9y+1Q=")</f>
        <v>#REF!</v>
      </c>
      <c r="CH26" t="e">
        <f>AND(#REF!,"AAAAAA9y+1U=")</f>
        <v>#REF!</v>
      </c>
      <c r="CI26" t="e">
        <f>AND(#REF!,"AAAAAA9y+1Y=")</f>
        <v>#REF!</v>
      </c>
      <c r="CJ26" t="e">
        <f>AND(#REF!,"AAAAAA9y+1c=")</f>
        <v>#REF!</v>
      </c>
      <c r="CK26" t="e">
        <f>AND(#REF!,"AAAAAA9y+1g=")</f>
        <v>#REF!</v>
      </c>
      <c r="CL26" t="e">
        <f>AND(#REF!,"AAAAAA9y+1k=")</f>
        <v>#REF!</v>
      </c>
      <c r="CM26" t="e">
        <f>AND(#REF!,"AAAAAA9y+1o=")</f>
        <v>#REF!</v>
      </c>
      <c r="CN26" t="e">
        <f>IF(#REF!,"AAAAAA9y+1s=",0)</f>
        <v>#REF!</v>
      </c>
      <c r="CO26" t="e">
        <f>AND(#REF!,"AAAAAA9y+1w=")</f>
        <v>#REF!</v>
      </c>
      <c r="CP26" t="e">
        <f>AND(#REF!,"AAAAAA9y+10=")</f>
        <v>#REF!</v>
      </c>
      <c r="CQ26" t="e">
        <f>AND(#REF!,"AAAAAA9y+14=")</f>
        <v>#REF!</v>
      </c>
      <c r="CR26" t="e">
        <f>AND(#REF!,"AAAAAA9y+18=")</f>
        <v>#REF!</v>
      </c>
      <c r="CS26" t="e">
        <f>AND(#REF!,"AAAAAA9y+2A=")</f>
        <v>#REF!</v>
      </c>
      <c r="CT26" t="e">
        <f>AND(#REF!,"AAAAAA9y+2E=")</f>
        <v>#REF!</v>
      </c>
      <c r="CU26" t="e">
        <f>AND(#REF!,"AAAAAA9y+2I=")</f>
        <v>#REF!</v>
      </c>
      <c r="CV26" t="e">
        <f>AND(#REF!,"AAAAAA9y+2M=")</f>
        <v>#REF!</v>
      </c>
      <c r="CW26" t="e">
        <f>AND(#REF!,"AAAAAA9y+2Q=")</f>
        <v>#REF!</v>
      </c>
      <c r="CX26" t="e">
        <f>AND(#REF!,"AAAAAA9y+2U=")</f>
        <v>#REF!</v>
      </c>
      <c r="CY26" t="e">
        <f>AND(#REF!,"AAAAAA9y+2Y=")</f>
        <v>#REF!</v>
      </c>
      <c r="CZ26" t="e">
        <f>AND(#REF!,"AAAAAA9y+2c=")</f>
        <v>#REF!</v>
      </c>
      <c r="DA26" t="e">
        <f>AND(#REF!,"AAAAAA9y+2g=")</f>
        <v>#REF!</v>
      </c>
      <c r="DB26" t="e">
        <f>AND(#REF!,"AAAAAA9y+2k=")</f>
        <v>#REF!</v>
      </c>
      <c r="DC26" t="e">
        <f>AND(#REF!,"AAAAAA9y+2o=")</f>
        <v>#REF!</v>
      </c>
      <c r="DD26" t="e">
        <f>IF(#REF!,"AAAAAA9y+2s=",0)</f>
        <v>#REF!</v>
      </c>
      <c r="DE26" t="e">
        <f>AND(#REF!,"AAAAAA9y+2w=")</f>
        <v>#REF!</v>
      </c>
      <c r="DF26" t="e">
        <f>AND(#REF!,"AAAAAA9y+20=")</f>
        <v>#REF!</v>
      </c>
      <c r="DG26" t="e">
        <f>AND(#REF!,"AAAAAA9y+24=")</f>
        <v>#REF!</v>
      </c>
      <c r="DH26" t="e">
        <f>AND(#REF!,"AAAAAA9y+28=")</f>
        <v>#REF!</v>
      </c>
      <c r="DI26" t="e">
        <f>AND(#REF!,"AAAAAA9y+3A=")</f>
        <v>#REF!</v>
      </c>
      <c r="DJ26" t="e">
        <f>AND(#REF!,"AAAAAA9y+3E=")</f>
        <v>#REF!</v>
      </c>
      <c r="DK26" t="e">
        <f>AND(#REF!,"AAAAAA9y+3I=")</f>
        <v>#REF!</v>
      </c>
      <c r="DL26" t="e">
        <f>AND(#REF!,"AAAAAA9y+3M=")</f>
        <v>#REF!</v>
      </c>
      <c r="DM26" t="e">
        <f>AND(#REF!,"AAAAAA9y+3Q=")</f>
        <v>#REF!</v>
      </c>
      <c r="DN26" t="e">
        <f>AND(#REF!,"AAAAAA9y+3U=")</f>
        <v>#REF!</v>
      </c>
      <c r="DO26" t="e">
        <f>AND(#REF!,"AAAAAA9y+3Y=")</f>
        <v>#REF!</v>
      </c>
      <c r="DP26" t="e">
        <f>AND(#REF!,"AAAAAA9y+3c=")</f>
        <v>#REF!</v>
      </c>
      <c r="DQ26" t="e">
        <f>AND(#REF!,"AAAAAA9y+3g=")</f>
        <v>#REF!</v>
      </c>
      <c r="DR26" t="e">
        <f>AND(#REF!,"AAAAAA9y+3k=")</f>
        <v>#REF!</v>
      </c>
      <c r="DS26" t="e">
        <f>AND(#REF!,"AAAAAA9y+3o=")</f>
        <v>#REF!</v>
      </c>
      <c r="DT26" t="e">
        <f>IF(#REF!,"AAAAAA9y+3s=",0)</f>
        <v>#REF!</v>
      </c>
      <c r="DU26" t="e">
        <f>AND(#REF!,"AAAAAA9y+3w=")</f>
        <v>#REF!</v>
      </c>
      <c r="DV26" t="e">
        <f>AND(#REF!,"AAAAAA9y+30=")</f>
        <v>#REF!</v>
      </c>
      <c r="DW26" t="e">
        <f>AND(#REF!,"AAAAAA9y+34=")</f>
        <v>#REF!</v>
      </c>
      <c r="DX26" t="e">
        <f>AND(#REF!,"AAAAAA9y+38=")</f>
        <v>#REF!</v>
      </c>
      <c r="DY26" t="e">
        <f>AND(#REF!,"AAAAAA9y+4A=")</f>
        <v>#REF!</v>
      </c>
      <c r="DZ26" t="e">
        <f>AND(#REF!,"AAAAAA9y+4E=")</f>
        <v>#REF!</v>
      </c>
      <c r="EA26" t="e">
        <f>AND(#REF!,"AAAAAA9y+4I=")</f>
        <v>#REF!</v>
      </c>
      <c r="EB26" t="e">
        <f>AND(#REF!,"AAAAAA9y+4M=")</f>
        <v>#REF!</v>
      </c>
      <c r="EC26" t="e">
        <f>AND(#REF!,"AAAAAA9y+4Q=")</f>
        <v>#REF!</v>
      </c>
      <c r="ED26" t="e">
        <f>AND(#REF!,"AAAAAA9y+4U=")</f>
        <v>#REF!</v>
      </c>
      <c r="EE26" t="e">
        <f>AND(#REF!,"AAAAAA9y+4Y=")</f>
        <v>#REF!</v>
      </c>
      <c r="EF26" t="e">
        <f>AND(#REF!,"AAAAAA9y+4c=")</f>
        <v>#REF!</v>
      </c>
      <c r="EG26" t="e">
        <f>AND(#REF!,"AAAAAA9y+4g=")</f>
        <v>#REF!</v>
      </c>
      <c r="EH26" t="e">
        <f>AND(#REF!,"AAAAAA9y+4k=")</f>
        <v>#REF!</v>
      </c>
      <c r="EI26" t="e">
        <f>AND(#REF!,"AAAAAA9y+4o=")</f>
        <v>#REF!</v>
      </c>
      <c r="EJ26" t="e">
        <f>IF(#REF!,"AAAAAA9y+4s=",0)</f>
        <v>#REF!</v>
      </c>
      <c r="EK26" t="e">
        <f>AND(#REF!,"AAAAAA9y+4w=")</f>
        <v>#REF!</v>
      </c>
      <c r="EL26" t="e">
        <f>AND(#REF!,"AAAAAA9y+40=")</f>
        <v>#REF!</v>
      </c>
      <c r="EM26" t="e">
        <f>AND(#REF!,"AAAAAA9y+44=")</f>
        <v>#REF!</v>
      </c>
      <c r="EN26" t="e">
        <f>AND(#REF!,"AAAAAA9y+48=")</f>
        <v>#REF!</v>
      </c>
      <c r="EO26" t="e">
        <f>AND(#REF!,"AAAAAA9y+5A=")</f>
        <v>#REF!</v>
      </c>
      <c r="EP26" t="e">
        <f>AND(#REF!,"AAAAAA9y+5E=")</f>
        <v>#REF!</v>
      </c>
      <c r="EQ26" t="e">
        <f>AND(#REF!,"AAAAAA9y+5I=")</f>
        <v>#REF!</v>
      </c>
      <c r="ER26" t="e">
        <f>AND(#REF!,"AAAAAA9y+5M=")</f>
        <v>#REF!</v>
      </c>
      <c r="ES26" t="e">
        <f>AND(#REF!,"AAAAAA9y+5Q=")</f>
        <v>#REF!</v>
      </c>
      <c r="ET26" t="e">
        <f>AND(#REF!,"AAAAAA9y+5U=")</f>
        <v>#REF!</v>
      </c>
      <c r="EU26" t="e">
        <f>AND(#REF!,"AAAAAA9y+5Y=")</f>
        <v>#REF!</v>
      </c>
      <c r="EV26" t="e">
        <f>AND(#REF!,"AAAAAA9y+5c=")</f>
        <v>#REF!</v>
      </c>
      <c r="EW26" t="e">
        <f>AND(#REF!,"AAAAAA9y+5g=")</f>
        <v>#REF!</v>
      </c>
      <c r="EX26" t="e">
        <f>AND(#REF!,"AAAAAA9y+5k=")</f>
        <v>#REF!</v>
      </c>
      <c r="EY26" t="e">
        <f>AND(#REF!,"AAAAAA9y+5o=")</f>
        <v>#REF!</v>
      </c>
      <c r="EZ26" t="e">
        <f>IF(#REF!,"AAAAAA9y+5s=",0)</f>
        <v>#REF!</v>
      </c>
      <c r="FA26" t="e">
        <f>AND(#REF!,"AAAAAA9y+5w=")</f>
        <v>#REF!</v>
      </c>
      <c r="FB26" t="e">
        <f>AND(#REF!,"AAAAAA9y+50=")</f>
        <v>#REF!</v>
      </c>
      <c r="FC26" t="e">
        <f>AND(#REF!,"AAAAAA9y+54=")</f>
        <v>#REF!</v>
      </c>
      <c r="FD26" t="e">
        <f>AND(#REF!,"AAAAAA9y+58=")</f>
        <v>#REF!</v>
      </c>
      <c r="FE26" t="e">
        <f>AND(#REF!,"AAAAAA9y+6A=")</f>
        <v>#REF!</v>
      </c>
      <c r="FF26" t="e">
        <f>AND(#REF!,"AAAAAA9y+6E=")</f>
        <v>#REF!</v>
      </c>
      <c r="FG26" t="e">
        <f>AND(#REF!,"AAAAAA9y+6I=")</f>
        <v>#REF!</v>
      </c>
      <c r="FH26" t="e">
        <f>AND(#REF!,"AAAAAA9y+6M=")</f>
        <v>#REF!</v>
      </c>
      <c r="FI26" t="e">
        <f>AND(#REF!,"AAAAAA9y+6Q=")</f>
        <v>#REF!</v>
      </c>
      <c r="FJ26" t="e">
        <f>AND(#REF!,"AAAAAA9y+6U=")</f>
        <v>#REF!</v>
      </c>
      <c r="FK26" t="e">
        <f>AND(#REF!,"AAAAAA9y+6Y=")</f>
        <v>#REF!</v>
      </c>
      <c r="FL26" t="e">
        <f>AND(#REF!,"AAAAAA9y+6c=")</f>
        <v>#REF!</v>
      </c>
      <c r="FM26" t="e">
        <f>AND(#REF!,"AAAAAA9y+6g=")</f>
        <v>#REF!</v>
      </c>
      <c r="FN26" t="e">
        <f>AND(#REF!,"AAAAAA9y+6k=")</f>
        <v>#REF!</v>
      </c>
      <c r="FO26" t="e">
        <f>AND(#REF!,"AAAAAA9y+6o=")</f>
        <v>#REF!</v>
      </c>
      <c r="FP26" t="e">
        <f>IF(#REF!,"AAAAAA9y+6s=",0)</f>
        <v>#REF!</v>
      </c>
      <c r="FQ26" t="e">
        <f>AND(#REF!,"AAAAAA9y+6w=")</f>
        <v>#REF!</v>
      </c>
      <c r="FR26" t="e">
        <f>AND(#REF!,"AAAAAA9y+60=")</f>
        <v>#REF!</v>
      </c>
      <c r="FS26" t="e">
        <f>AND(#REF!,"AAAAAA9y+64=")</f>
        <v>#REF!</v>
      </c>
      <c r="FT26" t="e">
        <f>AND(#REF!,"AAAAAA9y+68=")</f>
        <v>#REF!</v>
      </c>
      <c r="FU26" t="e">
        <f>AND(#REF!,"AAAAAA9y+7A=")</f>
        <v>#REF!</v>
      </c>
      <c r="FV26" t="e">
        <f>AND(#REF!,"AAAAAA9y+7E=")</f>
        <v>#REF!</v>
      </c>
      <c r="FW26" t="e">
        <f>AND(#REF!,"AAAAAA9y+7I=")</f>
        <v>#REF!</v>
      </c>
      <c r="FX26" t="e">
        <f>AND(#REF!,"AAAAAA9y+7M=")</f>
        <v>#REF!</v>
      </c>
      <c r="FY26" t="e">
        <f>AND(#REF!,"AAAAAA9y+7Q=")</f>
        <v>#REF!</v>
      </c>
      <c r="FZ26" t="e">
        <f>AND(#REF!,"AAAAAA9y+7U=")</f>
        <v>#REF!</v>
      </c>
      <c r="GA26" t="e">
        <f>AND(#REF!,"AAAAAA9y+7Y=")</f>
        <v>#REF!</v>
      </c>
      <c r="GB26" t="e">
        <f>AND(#REF!,"AAAAAA9y+7c=")</f>
        <v>#REF!</v>
      </c>
      <c r="GC26" t="e">
        <f>AND(#REF!,"AAAAAA9y+7g=")</f>
        <v>#REF!</v>
      </c>
      <c r="GD26" t="e">
        <f>AND(#REF!,"AAAAAA9y+7k=")</f>
        <v>#REF!</v>
      </c>
      <c r="GE26" t="e">
        <f>AND(#REF!,"AAAAAA9y+7o=")</f>
        <v>#REF!</v>
      </c>
      <c r="GF26" t="e">
        <f>IF(#REF!,"AAAAAA9y+7s=",0)</f>
        <v>#REF!</v>
      </c>
      <c r="GG26" t="e">
        <f>AND(#REF!,"AAAAAA9y+7w=")</f>
        <v>#REF!</v>
      </c>
      <c r="GH26" t="e">
        <f>AND(#REF!,"AAAAAA9y+70=")</f>
        <v>#REF!</v>
      </c>
      <c r="GI26" t="e">
        <f>AND(#REF!,"AAAAAA9y+74=")</f>
        <v>#REF!</v>
      </c>
      <c r="GJ26" t="e">
        <f>AND(#REF!,"AAAAAA9y+78=")</f>
        <v>#REF!</v>
      </c>
      <c r="GK26" t="e">
        <f>AND(#REF!,"AAAAAA9y+8A=")</f>
        <v>#REF!</v>
      </c>
      <c r="GL26" t="e">
        <f>AND(#REF!,"AAAAAA9y+8E=")</f>
        <v>#REF!</v>
      </c>
      <c r="GM26" t="e">
        <f>AND(#REF!,"AAAAAA9y+8I=")</f>
        <v>#REF!</v>
      </c>
      <c r="GN26" t="e">
        <f>AND(#REF!,"AAAAAA9y+8M=")</f>
        <v>#REF!</v>
      </c>
      <c r="GO26" t="e">
        <f>AND(#REF!,"AAAAAA9y+8Q=")</f>
        <v>#REF!</v>
      </c>
      <c r="GP26" t="e">
        <f>AND(#REF!,"AAAAAA9y+8U=")</f>
        <v>#REF!</v>
      </c>
      <c r="GQ26" t="e">
        <f>AND(#REF!,"AAAAAA9y+8Y=")</f>
        <v>#REF!</v>
      </c>
      <c r="GR26" t="e">
        <f>AND(#REF!,"AAAAAA9y+8c=")</f>
        <v>#REF!</v>
      </c>
      <c r="GS26" t="e">
        <f>AND(#REF!,"AAAAAA9y+8g=")</f>
        <v>#REF!</v>
      </c>
      <c r="GT26" t="e">
        <f>AND(#REF!,"AAAAAA9y+8k=")</f>
        <v>#REF!</v>
      </c>
      <c r="GU26" t="e">
        <f>AND(#REF!,"AAAAAA9y+8o=")</f>
        <v>#REF!</v>
      </c>
      <c r="GV26" t="e">
        <f>IF(#REF!,"AAAAAA9y+8s=",0)</f>
        <v>#REF!</v>
      </c>
      <c r="GW26" t="e">
        <f>AND(#REF!,"AAAAAA9y+8w=")</f>
        <v>#REF!</v>
      </c>
      <c r="GX26" t="e">
        <f>AND(#REF!,"AAAAAA9y+80=")</f>
        <v>#REF!</v>
      </c>
      <c r="GY26" t="e">
        <f>AND(#REF!,"AAAAAA9y+84=")</f>
        <v>#REF!</v>
      </c>
      <c r="GZ26" t="e">
        <f>AND(#REF!,"AAAAAA9y+88=")</f>
        <v>#REF!</v>
      </c>
      <c r="HA26" t="e">
        <f>AND(#REF!,"AAAAAA9y+9A=")</f>
        <v>#REF!</v>
      </c>
      <c r="HB26" t="e">
        <f>AND(#REF!,"AAAAAA9y+9E=")</f>
        <v>#REF!</v>
      </c>
      <c r="HC26" t="e">
        <f>AND(#REF!,"AAAAAA9y+9I=")</f>
        <v>#REF!</v>
      </c>
      <c r="HD26" t="e">
        <f>AND(#REF!,"AAAAAA9y+9M=")</f>
        <v>#REF!</v>
      </c>
      <c r="HE26" t="e">
        <f>AND(#REF!,"AAAAAA9y+9Q=")</f>
        <v>#REF!</v>
      </c>
      <c r="HF26" t="e">
        <f>AND(#REF!,"AAAAAA9y+9U=")</f>
        <v>#REF!</v>
      </c>
      <c r="HG26" t="e">
        <f>AND(#REF!,"AAAAAA9y+9Y=")</f>
        <v>#REF!</v>
      </c>
      <c r="HH26" t="e">
        <f>AND(#REF!,"AAAAAA9y+9c=")</f>
        <v>#REF!</v>
      </c>
      <c r="HI26" t="e">
        <f>AND(#REF!,"AAAAAA9y+9g=")</f>
        <v>#REF!</v>
      </c>
      <c r="HJ26" t="e">
        <f>AND(#REF!,"AAAAAA9y+9k=")</f>
        <v>#REF!</v>
      </c>
      <c r="HK26" t="e">
        <f>AND(#REF!,"AAAAAA9y+9o=")</f>
        <v>#REF!</v>
      </c>
      <c r="HL26" t="e">
        <f>IF(#REF!,"AAAAAA9y+9s=",0)</f>
        <v>#REF!</v>
      </c>
      <c r="HM26" t="e">
        <f>AND(#REF!,"AAAAAA9y+9w=")</f>
        <v>#REF!</v>
      </c>
      <c r="HN26" t="e">
        <f>AND(#REF!,"AAAAAA9y+90=")</f>
        <v>#REF!</v>
      </c>
      <c r="HO26" t="e">
        <f>AND(#REF!,"AAAAAA9y+94=")</f>
        <v>#REF!</v>
      </c>
      <c r="HP26" t="e">
        <f>AND(#REF!,"AAAAAA9y+98=")</f>
        <v>#REF!</v>
      </c>
      <c r="HQ26" t="e">
        <f>AND(#REF!,"AAAAAA9y++A=")</f>
        <v>#REF!</v>
      </c>
      <c r="HR26" t="e">
        <f>AND(#REF!,"AAAAAA9y++E=")</f>
        <v>#REF!</v>
      </c>
      <c r="HS26" t="e">
        <f>AND(#REF!,"AAAAAA9y++I=")</f>
        <v>#REF!</v>
      </c>
      <c r="HT26" t="e">
        <f>AND(#REF!,"AAAAAA9y++M=")</f>
        <v>#REF!</v>
      </c>
      <c r="HU26" t="e">
        <f>AND(#REF!,"AAAAAA9y++Q=")</f>
        <v>#REF!</v>
      </c>
      <c r="HV26" t="e">
        <f>AND(#REF!,"AAAAAA9y++U=")</f>
        <v>#REF!</v>
      </c>
      <c r="HW26" t="e">
        <f>AND(#REF!,"AAAAAA9y++Y=")</f>
        <v>#REF!</v>
      </c>
      <c r="HX26" t="e">
        <f>AND(#REF!,"AAAAAA9y++c=")</f>
        <v>#REF!</v>
      </c>
      <c r="HY26" t="e">
        <f>AND(#REF!,"AAAAAA9y++g=")</f>
        <v>#REF!</v>
      </c>
      <c r="HZ26" t="e">
        <f>AND(#REF!,"AAAAAA9y++k=")</f>
        <v>#REF!</v>
      </c>
      <c r="IA26" t="e">
        <f>AND(#REF!,"AAAAAA9y++o=")</f>
        <v>#REF!</v>
      </c>
      <c r="IB26" t="e">
        <f>IF(#REF!,"AAAAAA9y++s=",0)</f>
        <v>#REF!</v>
      </c>
      <c r="IC26" t="e">
        <f>AND(#REF!,"AAAAAA9y++w=")</f>
        <v>#REF!</v>
      </c>
      <c r="ID26" t="e">
        <f>AND(#REF!,"AAAAAA9y++0=")</f>
        <v>#REF!</v>
      </c>
      <c r="IE26" t="e">
        <f>AND(#REF!,"AAAAAA9y++4=")</f>
        <v>#REF!</v>
      </c>
      <c r="IF26" t="e">
        <f>AND(#REF!,"AAAAAA9y++8=")</f>
        <v>#REF!</v>
      </c>
      <c r="IG26" t="e">
        <f>AND(#REF!,"AAAAAA9y+/A=")</f>
        <v>#REF!</v>
      </c>
      <c r="IH26" t="e">
        <f>AND(#REF!,"AAAAAA9y+/E=")</f>
        <v>#REF!</v>
      </c>
      <c r="II26" t="e">
        <f>AND(#REF!,"AAAAAA9y+/I=")</f>
        <v>#REF!</v>
      </c>
      <c r="IJ26" t="e">
        <f>AND(#REF!,"AAAAAA9y+/M=")</f>
        <v>#REF!</v>
      </c>
      <c r="IK26" t="e">
        <f>AND(#REF!,"AAAAAA9y+/Q=")</f>
        <v>#REF!</v>
      </c>
      <c r="IL26" t="e">
        <f>AND(#REF!,"AAAAAA9y+/U=")</f>
        <v>#REF!</v>
      </c>
      <c r="IM26" t="e">
        <f>AND(#REF!,"AAAAAA9y+/Y=")</f>
        <v>#REF!</v>
      </c>
      <c r="IN26" t="e">
        <f>AND(#REF!,"AAAAAA9y+/c=")</f>
        <v>#REF!</v>
      </c>
      <c r="IO26" t="e">
        <f>AND(#REF!,"AAAAAA9y+/g=")</f>
        <v>#REF!</v>
      </c>
      <c r="IP26" t="e">
        <f>AND(#REF!,"AAAAAA9y+/k=")</f>
        <v>#REF!</v>
      </c>
      <c r="IQ26" t="e">
        <f>AND(#REF!,"AAAAAA9y+/o=")</f>
        <v>#REF!</v>
      </c>
      <c r="IR26" t="e">
        <f>IF(#REF!,"AAAAAA9y+/s=",0)</f>
        <v>#REF!</v>
      </c>
      <c r="IS26" t="e">
        <f>AND(#REF!,"AAAAAA9y+/w=")</f>
        <v>#REF!</v>
      </c>
      <c r="IT26" t="e">
        <f>AND(#REF!,"AAAAAA9y+/0=")</f>
        <v>#REF!</v>
      </c>
      <c r="IU26" t="e">
        <f>AND(#REF!,"AAAAAA9y+/4=")</f>
        <v>#REF!</v>
      </c>
      <c r="IV26" t="e">
        <f>AND(#REF!,"AAAAAA9y+/8=")</f>
        <v>#REF!</v>
      </c>
    </row>
    <row r="27" spans="1:256">
      <c r="A27" t="e">
        <f>AND(#REF!,"AAAAAHE53wA=")</f>
        <v>#REF!</v>
      </c>
      <c r="B27" t="e">
        <f>AND(#REF!,"AAAAAHE53wE=")</f>
        <v>#REF!</v>
      </c>
      <c r="C27" t="e">
        <f>AND(#REF!,"AAAAAHE53wI=")</f>
        <v>#REF!</v>
      </c>
      <c r="D27" t="e">
        <f>AND(#REF!,"AAAAAHE53wM=")</f>
        <v>#REF!</v>
      </c>
      <c r="E27" t="e">
        <f>AND(#REF!,"AAAAAHE53wQ=")</f>
        <v>#REF!</v>
      </c>
      <c r="F27" t="e">
        <f>AND(#REF!,"AAAAAHE53wU=")</f>
        <v>#REF!</v>
      </c>
      <c r="G27" t="e">
        <f>AND(#REF!,"AAAAAHE53wY=")</f>
        <v>#REF!</v>
      </c>
      <c r="H27" t="e">
        <f>AND(#REF!,"AAAAAHE53wc=")</f>
        <v>#REF!</v>
      </c>
      <c r="I27" t="e">
        <f>AND(#REF!,"AAAAAHE53wg=")</f>
        <v>#REF!</v>
      </c>
      <c r="J27" t="e">
        <f>AND(#REF!,"AAAAAHE53wk=")</f>
        <v>#REF!</v>
      </c>
      <c r="K27" t="e">
        <f>AND(#REF!,"AAAAAHE53wo=")</f>
        <v>#REF!</v>
      </c>
      <c r="L27" t="e">
        <f>IF(#REF!,"AAAAAHE53ws=",0)</f>
        <v>#REF!</v>
      </c>
      <c r="M27" t="e">
        <f>AND(#REF!,"AAAAAHE53ww=")</f>
        <v>#REF!</v>
      </c>
      <c r="N27" t="e">
        <f>AND(#REF!,"AAAAAHE53w0=")</f>
        <v>#REF!</v>
      </c>
      <c r="O27" t="e">
        <f>AND(#REF!,"AAAAAHE53w4=")</f>
        <v>#REF!</v>
      </c>
      <c r="P27" t="e">
        <f>AND(#REF!,"AAAAAHE53w8=")</f>
        <v>#REF!</v>
      </c>
      <c r="Q27" t="e">
        <f>AND(#REF!,"AAAAAHE53xA=")</f>
        <v>#REF!</v>
      </c>
      <c r="R27" t="e">
        <f>AND(#REF!,"AAAAAHE53xE=")</f>
        <v>#REF!</v>
      </c>
      <c r="S27" t="e">
        <f>AND(#REF!,"AAAAAHE53xI=")</f>
        <v>#REF!</v>
      </c>
      <c r="T27" t="e">
        <f>AND(#REF!,"AAAAAHE53xM=")</f>
        <v>#REF!</v>
      </c>
      <c r="U27" t="e">
        <f>AND(#REF!,"AAAAAHE53xQ=")</f>
        <v>#REF!</v>
      </c>
      <c r="V27" t="e">
        <f>AND(#REF!,"AAAAAHE53xU=")</f>
        <v>#REF!</v>
      </c>
      <c r="W27" t="e">
        <f>AND(#REF!,"AAAAAHE53xY=")</f>
        <v>#REF!</v>
      </c>
      <c r="X27" t="e">
        <f>AND(#REF!,"AAAAAHE53xc=")</f>
        <v>#REF!</v>
      </c>
      <c r="Y27" t="e">
        <f>AND(#REF!,"AAAAAHE53xg=")</f>
        <v>#REF!</v>
      </c>
      <c r="Z27" t="e">
        <f>AND(#REF!,"AAAAAHE53xk=")</f>
        <v>#REF!</v>
      </c>
      <c r="AA27" t="e">
        <f>AND(#REF!,"AAAAAHE53xo=")</f>
        <v>#REF!</v>
      </c>
      <c r="AB27" t="e">
        <f>IF(#REF!,"AAAAAHE53xs=",0)</f>
        <v>#REF!</v>
      </c>
      <c r="AC27" t="e">
        <f>AND(#REF!,"AAAAAHE53xw=")</f>
        <v>#REF!</v>
      </c>
      <c r="AD27" t="e">
        <f>AND(#REF!,"AAAAAHE53x0=")</f>
        <v>#REF!</v>
      </c>
      <c r="AE27" t="e">
        <f>AND(#REF!,"AAAAAHE53x4=")</f>
        <v>#REF!</v>
      </c>
      <c r="AF27" t="e">
        <f>AND(#REF!,"AAAAAHE53x8=")</f>
        <v>#REF!</v>
      </c>
      <c r="AG27" t="e">
        <f>AND(#REF!,"AAAAAHE53yA=")</f>
        <v>#REF!</v>
      </c>
      <c r="AH27" t="e">
        <f>AND(#REF!,"AAAAAHE53yE=")</f>
        <v>#REF!</v>
      </c>
      <c r="AI27" t="e">
        <f>AND(#REF!,"AAAAAHE53yI=")</f>
        <v>#REF!</v>
      </c>
      <c r="AJ27" t="e">
        <f>AND(#REF!,"AAAAAHE53yM=")</f>
        <v>#REF!</v>
      </c>
      <c r="AK27" t="e">
        <f>AND(#REF!,"AAAAAHE53yQ=")</f>
        <v>#REF!</v>
      </c>
      <c r="AL27" t="e">
        <f>AND(#REF!,"AAAAAHE53yU=")</f>
        <v>#REF!</v>
      </c>
      <c r="AM27" t="e">
        <f>AND(#REF!,"AAAAAHE53yY=")</f>
        <v>#REF!</v>
      </c>
      <c r="AN27" t="e">
        <f>AND(#REF!,"AAAAAHE53yc=")</f>
        <v>#REF!</v>
      </c>
      <c r="AO27" t="e">
        <f>AND(#REF!,"AAAAAHE53yg=")</f>
        <v>#REF!</v>
      </c>
      <c r="AP27" t="e">
        <f>AND(#REF!,"AAAAAHE53yk=")</f>
        <v>#REF!</v>
      </c>
      <c r="AQ27" t="e">
        <f>AND(#REF!,"AAAAAHE53yo=")</f>
        <v>#REF!</v>
      </c>
      <c r="AR27" t="e">
        <f>IF(#REF!,"AAAAAHE53ys=",0)</f>
        <v>#REF!</v>
      </c>
      <c r="AS27" t="e">
        <f>AND(#REF!,"AAAAAHE53yw=")</f>
        <v>#REF!</v>
      </c>
      <c r="AT27" t="e">
        <f>AND(#REF!,"AAAAAHE53y0=")</f>
        <v>#REF!</v>
      </c>
      <c r="AU27" t="e">
        <f>AND(#REF!,"AAAAAHE53y4=")</f>
        <v>#REF!</v>
      </c>
      <c r="AV27" t="e">
        <f>AND(#REF!,"AAAAAHE53y8=")</f>
        <v>#REF!</v>
      </c>
      <c r="AW27" t="e">
        <f>AND(#REF!,"AAAAAHE53zA=")</f>
        <v>#REF!</v>
      </c>
      <c r="AX27" t="e">
        <f>AND(#REF!,"AAAAAHE53zE=")</f>
        <v>#REF!</v>
      </c>
      <c r="AY27" t="e">
        <f>AND(#REF!,"AAAAAHE53zI=")</f>
        <v>#REF!</v>
      </c>
      <c r="AZ27" t="e">
        <f>AND(#REF!,"AAAAAHE53zM=")</f>
        <v>#REF!</v>
      </c>
      <c r="BA27" t="e">
        <f>AND(#REF!,"AAAAAHE53zQ=")</f>
        <v>#REF!</v>
      </c>
      <c r="BB27" t="e">
        <f>AND(#REF!,"AAAAAHE53zU=")</f>
        <v>#REF!</v>
      </c>
      <c r="BC27" t="e">
        <f>AND(#REF!,"AAAAAHE53zY=")</f>
        <v>#REF!</v>
      </c>
      <c r="BD27" t="e">
        <f>AND(#REF!,"AAAAAHE53zc=")</f>
        <v>#REF!</v>
      </c>
      <c r="BE27" t="e">
        <f>AND(#REF!,"AAAAAHE53zg=")</f>
        <v>#REF!</v>
      </c>
      <c r="BF27" t="e">
        <f>AND(#REF!,"AAAAAHE53zk=")</f>
        <v>#REF!</v>
      </c>
      <c r="BG27" t="e">
        <f>AND(#REF!,"AAAAAHE53zo=")</f>
        <v>#REF!</v>
      </c>
      <c r="BH27" t="e">
        <f>IF(#REF!,"AAAAAHE53zs=",0)</f>
        <v>#REF!</v>
      </c>
      <c r="BI27" t="e">
        <f>AND(#REF!,"AAAAAHE53zw=")</f>
        <v>#REF!</v>
      </c>
      <c r="BJ27" t="e">
        <f>AND(#REF!,"AAAAAHE53z0=")</f>
        <v>#REF!</v>
      </c>
      <c r="BK27" t="e">
        <f>AND(#REF!,"AAAAAHE53z4=")</f>
        <v>#REF!</v>
      </c>
      <c r="BL27" t="e">
        <f>AND(#REF!,"AAAAAHE53z8=")</f>
        <v>#REF!</v>
      </c>
      <c r="BM27" t="e">
        <f>AND(#REF!,"AAAAAHE530A=")</f>
        <v>#REF!</v>
      </c>
      <c r="BN27" t="e">
        <f>AND(#REF!,"AAAAAHE530E=")</f>
        <v>#REF!</v>
      </c>
      <c r="BO27" t="e">
        <f>AND(#REF!,"AAAAAHE530I=")</f>
        <v>#REF!</v>
      </c>
      <c r="BP27" t="e">
        <f>AND(#REF!,"AAAAAHE530M=")</f>
        <v>#REF!</v>
      </c>
      <c r="BQ27" t="e">
        <f>AND(#REF!,"AAAAAHE530Q=")</f>
        <v>#REF!</v>
      </c>
      <c r="BR27" t="e">
        <f>AND(#REF!,"AAAAAHE530U=")</f>
        <v>#REF!</v>
      </c>
      <c r="BS27" t="e">
        <f>AND(#REF!,"AAAAAHE530Y=")</f>
        <v>#REF!</v>
      </c>
      <c r="BT27" t="e">
        <f>AND(#REF!,"AAAAAHE530c=")</f>
        <v>#REF!</v>
      </c>
      <c r="BU27" t="e">
        <f>AND(#REF!,"AAAAAHE530g=")</f>
        <v>#REF!</v>
      </c>
      <c r="BV27" t="e">
        <f>AND(#REF!,"AAAAAHE530k=")</f>
        <v>#REF!</v>
      </c>
      <c r="BW27" t="e">
        <f>AND(#REF!,"AAAAAHE530o=")</f>
        <v>#REF!</v>
      </c>
      <c r="BX27" t="e">
        <f>IF(#REF!,"AAAAAHE530s=",0)</f>
        <v>#REF!</v>
      </c>
      <c r="BY27" t="e">
        <f>AND(#REF!,"AAAAAHE530w=")</f>
        <v>#REF!</v>
      </c>
      <c r="BZ27" t="e">
        <f>AND(#REF!,"AAAAAHE5300=")</f>
        <v>#REF!</v>
      </c>
      <c r="CA27" t="e">
        <f>AND(#REF!,"AAAAAHE5304=")</f>
        <v>#REF!</v>
      </c>
      <c r="CB27" t="e">
        <f>AND(#REF!,"AAAAAHE5308=")</f>
        <v>#REF!</v>
      </c>
      <c r="CC27" t="e">
        <f>AND(#REF!,"AAAAAHE531A=")</f>
        <v>#REF!</v>
      </c>
      <c r="CD27" t="e">
        <f>AND(#REF!,"AAAAAHE531E=")</f>
        <v>#REF!</v>
      </c>
      <c r="CE27" t="e">
        <f>AND(#REF!,"AAAAAHE531I=")</f>
        <v>#REF!</v>
      </c>
      <c r="CF27" t="e">
        <f>AND(#REF!,"AAAAAHE531M=")</f>
        <v>#REF!</v>
      </c>
      <c r="CG27" t="e">
        <f>AND(#REF!,"AAAAAHE531Q=")</f>
        <v>#REF!</v>
      </c>
      <c r="CH27" t="e">
        <f>AND(#REF!,"AAAAAHE531U=")</f>
        <v>#REF!</v>
      </c>
      <c r="CI27" t="e">
        <f>AND(#REF!,"AAAAAHE531Y=")</f>
        <v>#REF!</v>
      </c>
      <c r="CJ27" t="e">
        <f>AND(#REF!,"AAAAAHE531c=")</f>
        <v>#REF!</v>
      </c>
      <c r="CK27" t="e">
        <f>AND(#REF!,"AAAAAHE531g=")</f>
        <v>#REF!</v>
      </c>
      <c r="CL27" t="e">
        <f>AND(#REF!,"AAAAAHE531k=")</f>
        <v>#REF!</v>
      </c>
      <c r="CM27" t="e">
        <f>AND(#REF!,"AAAAAHE531o=")</f>
        <v>#REF!</v>
      </c>
      <c r="CN27" t="e">
        <f>IF(#REF!,"AAAAAHE531s=",0)</f>
        <v>#REF!</v>
      </c>
      <c r="CO27" t="e">
        <f>AND(#REF!,"AAAAAHE531w=")</f>
        <v>#REF!</v>
      </c>
      <c r="CP27" t="e">
        <f>AND(#REF!,"AAAAAHE5310=")</f>
        <v>#REF!</v>
      </c>
      <c r="CQ27" t="e">
        <f>AND(#REF!,"AAAAAHE5314=")</f>
        <v>#REF!</v>
      </c>
      <c r="CR27" t="e">
        <f>AND(#REF!,"AAAAAHE5318=")</f>
        <v>#REF!</v>
      </c>
      <c r="CS27" t="e">
        <f>AND(#REF!,"AAAAAHE532A=")</f>
        <v>#REF!</v>
      </c>
      <c r="CT27" t="e">
        <f>AND(#REF!,"AAAAAHE532E=")</f>
        <v>#REF!</v>
      </c>
      <c r="CU27" t="e">
        <f>AND(#REF!,"AAAAAHE532I=")</f>
        <v>#REF!</v>
      </c>
      <c r="CV27" t="e">
        <f>AND(#REF!,"AAAAAHE532M=")</f>
        <v>#REF!</v>
      </c>
      <c r="CW27" t="e">
        <f>AND(#REF!,"AAAAAHE532Q=")</f>
        <v>#REF!</v>
      </c>
      <c r="CX27" t="e">
        <f>AND(#REF!,"AAAAAHE532U=")</f>
        <v>#REF!</v>
      </c>
      <c r="CY27" t="e">
        <f>AND(#REF!,"AAAAAHE532Y=")</f>
        <v>#REF!</v>
      </c>
      <c r="CZ27" t="e">
        <f>AND(#REF!,"AAAAAHE532c=")</f>
        <v>#REF!</v>
      </c>
      <c r="DA27" t="e">
        <f>AND(#REF!,"AAAAAHE532g=")</f>
        <v>#REF!</v>
      </c>
      <c r="DB27" t="e">
        <f>AND(#REF!,"AAAAAHE532k=")</f>
        <v>#REF!</v>
      </c>
      <c r="DC27" t="e">
        <f>AND(#REF!,"AAAAAHE532o=")</f>
        <v>#REF!</v>
      </c>
      <c r="DD27" t="e">
        <f>IF(#REF!,"AAAAAHE532s=",0)</f>
        <v>#REF!</v>
      </c>
      <c r="DE27" t="e">
        <f>AND(#REF!,"AAAAAHE532w=")</f>
        <v>#REF!</v>
      </c>
      <c r="DF27" t="e">
        <f>AND(#REF!,"AAAAAHE5320=")</f>
        <v>#REF!</v>
      </c>
      <c r="DG27" t="e">
        <f>AND(#REF!,"AAAAAHE5324=")</f>
        <v>#REF!</v>
      </c>
      <c r="DH27" t="e">
        <f>AND(#REF!,"AAAAAHE5328=")</f>
        <v>#REF!</v>
      </c>
      <c r="DI27" t="e">
        <f>AND(#REF!,"AAAAAHE533A=")</f>
        <v>#REF!</v>
      </c>
      <c r="DJ27" t="e">
        <f>AND(#REF!,"AAAAAHE533E=")</f>
        <v>#REF!</v>
      </c>
      <c r="DK27" t="e">
        <f>AND(#REF!,"AAAAAHE533I=")</f>
        <v>#REF!</v>
      </c>
      <c r="DL27" t="e">
        <f>AND(#REF!,"AAAAAHE533M=")</f>
        <v>#REF!</v>
      </c>
      <c r="DM27" t="e">
        <f>AND(#REF!,"AAAAAHE533Q=")</f>
        <v>#REF!</v>
      </c>
      <c r="DN27" t="e">
        <f>AND(#REF!,"AAAAAHE533U=")</f>
        <v>#REF!</v>
      </c>
      <c r="DO27" t="e">
        <f>AND(#REF!,"AAAAAHE533Y=")</f>
        <v>#REF!</v>
      </c>
      <c r="DP27" t="e">
        <f>AND(#REF!,"AAAAAHE533c=")</f>
        <v>#REF!</v>
      </c>
      <c r="DQ27" t="e">
        <f>AND(#REF!,"AAAAAHE533g=")</f>
        <v>#REF!</v>
      </c>
      <c r="DR27" t="e">
        <f>AND(#REF!,"AAAAAHE533k=")</f>
        <v>#REF!</v>
      </c>
      <c r="DS27" t="e">
        <f>AND(#REF!,"AAAAAHE533o=")</f>
        <v>#REF!</v>
      </c>
      <c r="DT27" t="e">
        <f>IF(#REF!,"AAAAAHE533s=",0)</f>
        <v>#REF!</v>
      </c>
      <c r="DU27" t="e">
        <f>AND(#REF!,"AAAAAHE533w=")</f>
        <v>#REF!</v>
      </c>
      <c r="DV27" t="e">
        <f>AND(#REF!,"AAAAAHE5330=")</f>
        <v>#REF!</v>
      </c>
      <c r="DW27" t="e">
        <f>AND(#REF!,"AAAAAHE5334=")</f>
        <v>#REF!</v>
      </c>
      <c r="DX27" t="e">
        <f>AND(#REF!,"AAAAAHE5338=")</f>
        <v>#REF!</v>
      </c>
      <c r="DY27" t="e">
        <f>AND(#REF!,"AAAAAHE534A=")</f>
        <v>#REF!</v>
      </c>
      <c r="DZ27" t="e">
        <f>AND(#REF!,"AAAAAHE534E=")</f>
        <v>#REF!</v>
      </c>
      <c r="EA27" t="e">
        <f>AND(#REF!,"AAAAAHE534I=")</f>
        <v>#REF!</v>
      </c>
      <c r="EB27" t="e">
        <f>AND(#REF!,"AAAAAHE534M=")</f>
        <v>#REF!</v>
      </c>
      <c r="EC27" t="e">
        <f>AND(#REF!,"AAAAAHE534Q=")</f>
        <v>#REF!</v>
      </c>
      <c r="ED27" t="e">
        <f>AND(#REF!,"AAAAAHE534U=")</f>
        <v>#REF!</v>
      </c>
      <c r="EE27" t="e">
        <f>AND(#REF!,"AAAAAHE534Y=")</f>
        <v>#REF!</v>
      </c>
      <c r="EF27" t="e">
        <f>AND(#REF!,"AAAAAHE534c=")</f>
        <v>#REF!</v>
      </c>
      <c r="EG27" t="e">
        <f>AND(#REF!,"AAAAAHE534g=")</f>
        <v>#REF!</v>
      </c>
      <c r="EH27" t="e">
        <f>AND(#REF!,"AAAAAHE534k=")</f>
        <v>#REF!</v>
      </c>
      <c r="EI27" t="e">
        <f>AND(#REF!,"AAAAAHE534o=")</f>
        <v>#REF!</v>
      </c>
      <c r="EJ27" t="e">
        <f>IF(#REF!,"AAAAAHE534s=",0)</f>
        <v>#REF!</v>
      </c>
      <c r="EK27" t="e">
        <f>AND(#REF!,"AAAAAHE534w=")</f>
        <v>#REF!</v>
      </c>
      <c r="EL27" t="e">
        <f>AND(#REF!,"AAAAAHE5340=")</f>
        <v>#REF!</v>
      </c>
      <c r="EM27" t="e">
        <f>AND(#REF!,"AAAAAHE5344=")</f>
        <v>#REF!</v>
      </c>
      <c r="EN27" t="e">
        <f>AND(#REF!,"AAAAAHE5348=")</f>
        <v>#REF!</v>
      </c>
      <c r="EO27" t="e">
        <f>AND(#REF!,"AAAAAHE535A=")</f>
        <v>#REF!</v>
      </c>
      <c r="EP27" t="e">
        <f>AND(#REF!,"AAAAAHE535E=")</f>
        <v>#REF!</v>
      </c>
      <c r="EQ27" t="e">
        <f>AND(#REF!,"AAAAAHE535I=")</f>
        <v>#REF!</v>
      </c>
      <c r="ER27" t="e">
        <f>AND(#REF!,"AAAAAHE535M=")</f>
        <v>#REF!</v>
      </c>
      <c r="ES27" t="e">
        <f>AND(#REF!,"AAAAAHE535Q=")</f>
        <v>#REF!</v>
      </c>
      <c r="ET27" t="e">
        <f>AND(#REF!,"AAAAAHE535U=")</f>
        <v>#REF!</v>
      </c>
      <c r="EU27" t="e">
        <f>AND(#REF!,"AAAAAHE535Y=")</f>
        <v>#REF!</v>
      </c>
      <c r="EV27" t="e">
        <f>AND(#REF!,"AAAAAHE535c=")</f>
        <v>#REF!</v>
      </c>
      <c r="EW27" t="e">
        <f>AND(#REF!,"AAAAAHE535g=")</f>
        <v>#REF!</v>
      </c>
      <c r="EX27" t="e">
        <f>AND(#REF!,"AAAAAHE535k=")</f>
        <v>#REF!</v>
      </c>
      <c r="EY27" t="e">
        <f>AND(#REF!,"AAAAAHE535o=")</f>
        <v>#REF!</v>
      </c>
      <c r="EZ27" t="e">
        <f>IF(#REF!,"AAAAAHE535s=",0)</f>
        <v>#REF!</v>
      </c>
      <c r="FA27" t="e">
        <f>AND(#REF!,"AAAAAHE535w=")</f>
        <v>#REF!</v>
      </c>
      <c r="FB27" t="e">
        <f>AND(#REF!,"AAAAAHE5350=")</f>
        <v>#REF!</v>
      </c>
      <c r="FC27" t="e">
        <f>AND(#REF!,"AAAAAHE5354=")</f>
        <v>#REF!</v>
      </c>
      <c r="FD27" t="e">
        <f>AND(#REF!,"AAAAAHE5358=")</f>
        <v>#REF!</v>
      </c>
      <c r="FE27" t="e">
        <f>AND(#REF!,"AAAAAHE536A=")</f>
        <v>#REF!</v>
      </c>
      <c r="FF27" t="e">
        <f>AND(#REF!,"AAAAAHE536E=")</f>
        <v>#REF!</v>
      </c>
      <c r="FG27" t="e">
        <f>AND(#REF!,"AAAAAHE536I=")</f>
        <v>#REF!</v>
      </c>
      <c r="FH27" t="e">
        <f>AND(#REF!,"AAAAAHE536M=")</f>
        <v>#REF!</v>
      </c>
      <c r="FI27" t="e">
        <f>AND(#REF!,"AAAAAHE536Q=")</f>
        <v>#REF!</v>
      </c>
      <c r="FJ27" t="e">
        <f>AND(#REF!,"AAAAAHE536U=")</f>
        <v>#REF!</v>
      </c>
      <c r="FK27" t="e">
        <f>AND(#REF!,"AAAAAHE536Y=")</f>
        <v>#REF!</v>
      </c>
      <c r="FL27" t="e">
        <f>AND(#REF!,"AAAAAHE536c=")</f>
        <v>#REF!</v>
      </c>
      <c r="FM27" t="e">
        <f>AND(#REF!,"AAAAAHE536g=")</f>
        <v>#REF!</v>
      </c>
      <c r="FN27" t="e">
        <f>AND(#REF!,"AAAAAHE536k=")</f>
        <v>#REF!</v>
      </c>
      <c r="FO27" t="e">
        <f>AND(#REF!,"AAAAAHE536o=")</f>
        <v>#REF!</v>
      </c>
      <c r="FP27" t="e">
        <f>IF(#REF!,"AAAAAHE536s=",0)</f>
        <v>#REF!</v>
      </c>
      <c r="FQ27" t="e">
        <f>AND(#REF!,"AAAAAHE536w=")</f>
        <v>#REF!</v>
      </c>
      <c r="FR27" t="e">
        <f>AND(#REF!,"AAAAAHE5360=")</f>
        <v>#REF!</v>
      </c>
      <c r="FS27" t="e">
        <f>AND(#REF!,"AAAAAHE5364=")</f>
        <v>#REF!</v>
      </c>
      <c r="FT27" t="e">
        <f>AND(#REF!,"AAAAAHE5368=")</f>
        <v>#REF!</v>
      </c>
      <c r="FU27" t="e">
        <f>AND(#REF!,"AAAAAHE537A=")</f>
        <v>#REF!</v>
      </c>
      <c r="FV27" t="e">
        <f>AND(#REF!,"AAAAAHE537E=")</f>
        <v>#REF!</v>
      </c>
      <c r="FW27" t="e">
        <f>AND(#REF!,"AAAAAHE537I=")</f>
        <v>#REF!</v>
      </c>
      <c r="FX27" t="e">
        <f>AND(#REF!,"AAAAAHE537M=")</f>
        <v>#REF!</v>
      </c>
      <c r="FY27" t="e">
        <f>AND(#REF!,"AAAAAHE537Q=")</f>
        <v>#REF!</v>
      </c>
      <c r="FZ27" t="e">
        <f>AND(#REF!,"AAAAAHE537U=")</f>
        <v>#REF!</v>
      </c>
      <c r="GA27" t="e">
        <f>AND(#REF!,"AAAAAHE537Y=")</f>
        <v>#REF!</v>
      </c>
      <c r="GB27" t="e">
        <f>AND(#REF!,"AAAAAHE537c=")</f>
        <v>#REF!</v>
      </c>
      <c r="GC27" t="e">
        <f>AND(#REF!,"AAAAAHE537g=")</f>
        <v>#REF!</v>
      </c>
      <c r="GD27" t="e">
        <f>AND(#REF!,"AAAAAHE537k=")</f>
        <v>#REF!</v>
      </c>
      <c r="GE27" t="e">
        <f>AND(#REF!,"AAAAAHE537o=")</f>
        <v>#REF!</v>
      </c>
      <c r="GF27" t="e">
        <f>IF(#REF!,"AAAAAHE537s=",0)</f>
        <v>#REF!</v>
      </c>
      <c r="GG27" t="e">
        <f>AND(#REF!,"AAAAAHE537w=")</f>
        <v>#REF!</v>
      </c>
      <c r="GH27" t="e">
        <f>AND(#REF!,"AAAAAHE5370=")</f>
        <v>#REF!</v>
      </c>
      <c r="GI27" t="e">
        <f>AND(#REF!,"AAAAAHE5374=")</f>
        <v>#REF!</v>
      </c>
      <c r="GJ27" t="e">
        <f>AND(#REF!,"AAAAAHE5378=")</f>
        <v>#REF!</v>
      </c>
      <c r="GK27" t="e">
        <f>AND(#REF!,"AAAAAHE538A=")</f>
        <v>#REF!</v>
      </c>
      <c r="GL27" t="e">
        <f>AND(#REF!,"AAAAAHE538E=")</f>
        <v>#REF!</v>
      </c>
      <c r="GM27" t="e">
        <f>AND(#REF!,"AAAAAHE538I=")</f>
        <v>#REF!</v>
      </c>
      <c r="GN27" t="e">
        <f>AND(#REF!,"AAAAAHE538M=")</f>
        <v>#REF!</v>
      </c>
      <c r="GO27" t="e">
        <f>AND(#REF!,"AAAAAHE538Q=")</f>
        <v>#REF!</v>
      </c>
      <c r="GP27" t="e">
        <f>AND(#REF!,"AAAAAHE538U=")</f>
        <v>#REF!</v>
      </c>
      <c r="GQ27" t="e">
        <f>AND(#REF!,"AAAAAHE538Y=")</f>
        <v>#REF!</v>
      </c>
      <c r="GR27" t="e">
        <f>AND(#REF!,"AAAAAHE538c=")</f>
        <v>#REF!</v>
      </c>
      <c r="GS27" t="e">
        <f>AND(#REF!,"AAAAAHE538g=")</f>
        <v>#REF!</v>
      </c>
      <c r="GT27" t="e">
        <f>AND(#REF!,"AAAAAHE538k=")</f>
        <v>#REF!</v>
      </c>
      <c r="GU27" t="e">
        <f>AND(#REF!,"AAAAAHE538o=")</f>
        <v>#REF!</v>
      </c>
      <c r="GV27" t="e">
        <f>IF(#REF!,"AAAAAHE538s=",0)</f>
        <v>#REF!</v>
      </c>
      <c r="GW27" t="e">
        <f>AND(#REF!,"AAAAAHE538w=")</f>
        <v>#REF!</v>
      </c>
      <c r="GX27" t="e">
        <f>AND(#REF!,"AAAAAHE5380=")</f>
        <v>#REF!</v>
      </c>
      <c r="GY27" t="e">
        <f>AND(#REF!,"AAAAAHE5384=")</f>
        <v>#REF!</v>
      </c>
      <c r="GZ27" t="e">
        <f>AND(#REF!,"AAAAAHE5388=")</f>
        <v>#REF!</v>
      </c>
      <c r="HA27" t="e">
        <f>AND(#REF!,"AAAAAHE539A=")</f>
        <v>#REF!</v>
      </c>
      <c r="HB27" t="e">
        <f>AND(#REF!,"AAAAAHE539E=")</f>
        <v>#REF!</v>
      </c>
      <c r="HC27" t="e">
        <f>AND(#REF!,"AAAAAHE539I=")</f>
        <v>#REF!</v>
      </c>
      <c r="HD27" t="e">
        <f>AND(#REF!,"AAAAAHE539M=")</f>
        <v>#REF!</v>
      </c>
      <c r="HE27" t="e">
        <f>AND(#REF!,"AAAAAHE539Q=")</f>
        <v>#REF!</v>
      </c>
      <c r="HF27" t="e">
        <f>AND(#REF!,"AAAAAHE539U=")</f>
        <v>#REF!</v>
      </c>
      <c r="HG27" t="e">
        <f>AND(#REF!,"AAAAAHE539Y=")</f>
        <v>#REF!</v>
      </c>
      <c r="HH27" t="e">
        <f>AND(#REF!,"AAAAAHE539c=")</f>
        <v>#REF!</v>
      </c>
      <c r="HI27" t="e">
        <f>AND(#REF!,"AAAAAHE539g=")</f>
        <v>#REF!</v>
      </c>
      <c r="HJ27" t="e">
        <f>AND(#REF!,"AAAAAHE539k=")</f>
        <v>#REF!</v>
      </c>
      <c r="HK27" t="e">
        <f>AND(#REF!,"AAAAAHE539o=")</f>
        <v>#REF!</v>
      </c>
      <c r="HL27" t="e">
        <f>IF(#REF!,"AAAAAHE539s=",0)</f>
        <v>#REF!</v>
      </c>
      <c r="HM27" t="e">
        <f>AND(#REF!,"AAAAAHE539w=")</f>
        <v>#REF!</v>
      </c>
      <c r="HN27" t="e">
        <f>AND(#REF!,"AAAAAHE5390=")</f>
        <v>#REF!</v>
      </c>
      <c r="HO27" t="e">
        <f>AND(#REF!,"AAAAAHE5394=")</f>
        <v>#REF!</v>
      </c>
      <c r="HP27" t="e">
        <f>AND(#REF!,"AAAAAHE5398=")</f>
        <v>#REF!</v>
      </c>
      <c r="HQ27" t="e">
        <f>AND(#REF!,"AAAAAHE53+A=")</f>
        <v>#REF!</v>
      </c>
      <c r="HR27" t="e">
        <f>AND(#REF!,"AAAAAHE53+E=")</f>
        <v>#REF!</v>
      </c>
      <c r="HS27" t="e">
        <f>AND(#REF!,"AAAAAHE53+I=")</f>
        <v>#REF!</v>
      </c>
      <c r="HT27" t="e">
        <f>AND(#REF!,"AAAAAHE53+M=")</f>
        <v>#REF!</v>
      </c>
      <c r="HU27" t="e">
        <f>AND(#REF!,"AAAAAHE53+Q=")</f>
        <v>#REF!</v>
      </c>
      <c r="HV27" t="e">
        <f>AND(#REF!,"AAAAAHE53+U=")</f>
        <v>#REF!</v>
      </c>
      <c r="HW27" t="e">
        <f>AND(#REF!,"AAAAAHE53+Y=")</f>
        <v>#REF!</v>
      </c>
      <c r="HX27" t="e">
        <f>AND(#REF!,"AAAAAHE53+c=")</f>
        <v>#REF!</v>
      </c>
      <c r="HY27" t="e">
        <f>AND(#REF!,"AAAAAHE53+g=")</f>
        <v>#REF!</v>
      </c>
      <c r="HZ27" t="e">
        <f>AND(#REF!,"AAAAAHE53+k=")</f>
        <v>#REF!</v>
      </c>
      <c r="IA27" t="e">
        <f>AND(#REF!,"AAAAAHE53+o=")</f>
        <v>#REF!</v>
      </c>
      <c r="IB27" t="e">
        <f>IF(#REF!,"AAAAAHE53+s=",0)</f>
        <v>#REF!</v>
      </c>
      <c r="IC27" t="e">
        <f>AND(#REF!,"AAAAAHE53+w=")</f>
        <v>#REF!</v>
      </c>
      <c r="ID27" t="e">
        <f>AND(#REF!,"AAAAAHE53+0=")</f>
        <v>#REF!</v>
      </c>
      <c r="IE27" t="e">
        <f>AND(#REF!,"AAAAAHE53+4=")</f>
        <v>#REF!</v>
      </c>
      <c r="IF27" t="e">
        <f>AND(#REF!,"AAAAAHE53+8=")</f>
        <v>#REF!</v>
      </c>
      <c r="IG27" t="e">
        <f>AND(#REF!,"AAAAAHE53/A=")</f>
        <v>#REF!</v>
      </c>
      <c r="IH27" t="e">
        <f>AND(#REF!,"AAAAAHE53/E=")</f>
        <v>#REF!</v>
      </c>
      <c r="II27" t="e">
        <f>AND(#REF!,"AAAAAHE53/I=")</f>
        <v>#REF!</v>
      </c>
      <c r="IJ27" t="e">
        <f>AND(#REF!,"AAAAAHE53/M=")</f>
        <v>#REF!</v>
      </c>
      <c r="IK27" t="e">
        <f>AND(#REF!,"AAAAAHE53/Q=")</f>
        <v>#REF!</v>
      </c>
      <c r="IL27" t="e">
        <f>AND(#REF!,"AAAAAHE53/U=")</f>
        <v>#REF!</v>
      </c>
      <c r="IM27" t="e">
        <f>AND(#REF!,"AAAAAHE53/Y=")</f>
        <v>#REF!</v>
      </c>
      <c r="IN27" t="e">
        <f>AND(#REF!,"AAAAAHE53/c=")</f>
        <v>#REF!</v>
      </c>
      <c r="IO27" t="e">
        <f>AND(#REF!,"AAAAAHE53/g=")</f>
        <v>#REF!</v>
      </c>
      <c r="IP27" t="e">
        <f>AND(#REF!,"AAAAAHE53/k=")</f>
        <v>#REF!</v>
      </c>
      <c r="IQ27" t="e">
        <f>AND(#REF!,"AAAAAHE53/o=")</f>
        <v>#REF!</v>
      </c>
      <c r="IR27" t="e">
        <f>IF(#REF!,"AAAAAHE53/s=",0)</f>
        <v>#REF!</v>
      </c>
      <c r="IS27" t="e">
        <f>AND(#REF!,"AAAAAHE53/w=")</f>
        <v>#REF!</v>
      </c>
      <c r="IT27" t="e">
        <f>AND(#REF!,"AAAAAHE53/0=")</f>
        <v>#REF!</v>
      </c>
      <c r="IU27" t="e">
        <f>AND(#REF!,"AAAAAHE53/4=")</f>
        <v>#REF!</v>
      </c>
      <c r="IV27" t="e">
        <f>AND(#REF!,"AAAAAHE53/8=")</f>
        <v>#REF!</v>
      </c>
    </row>
    <row r="28" spans="1:256">
      <c r="A28" t="e">
        <f>AND(#REF!,"AAAAAH7j7wA=")</f>
        <v>#REF!</v>
      </c>
      <c r="B28" t="e">
        <f>AND(#REF!,"AAAAAH7j7wE=")</f>
        <v>#REF!</v>
      </c>
      <c r="C28" t="e">
        <f>AND(#REF!,"AAAAAH7j7wI=")</f>
        <v>#REF!</v>
      </c>
      <c r="D28" t="e">
        <f>AND(#REF!,"AAAAAH7j7wM=")</f>
        <v>#REF!</v>
      </c>
      <c r="E28" t="e">
        <f>AND(#REF!,"AAAAAH7j7wQ=")</f>
        <v>#REF!</v>
      </c>
      <c r="F28" t="e">
        <f>AND(#REF!,"AAAAAH7j7wU=")</f>
        <v>#REF!</v>
      </c>
      <c r="G28" t="e">
        <f>AND(#REF!,"AAAAAH7j7wY=")</f>
        <v>#REF!</v>
      </c>
      <c r="H28" t="e">
        <f>AND(#REF!,"AAAAAH7j7wc=")</f>
        <v>#REF!</v>
      </c>
      <c r="I28" t="e">
        <f>AND(#REF!,"AAAAAH7j7wg=")</f>
        <v>#REF!</v>
      </c>
      <c r="J28" t="e">
        <f>AND(#REF!,"AAAAAH7j7wk=")</f>
        <v>#REF!</v>
      </c>
      <c r="K28" t="e">
        <f>AND(#REF!,"AAAAAH7j7wo=")</f>
        <v>#REF!</v>
      </c>
      <c r="L28" t="e">
        <f>IF(#REF!,"AAAAAH7j7ws=",0)</f>
        <v>#REF!</v>
      </c>
      <c r="M28" t="e">
        <f>AND(#REF!,"AAAAAH7j7ww=")</f>
        <v>#REF!</v>
      </c>
      <c r="N28" t="e">
        <f>AND(#REF!,"AAAAAH7j7w0=")</f>
        <v>#REF!</v>
      </c>
      <c r="O28" t="e">
        <f>AND(#REF!,"AAAAAH7j7w4=")</f>
        <v>#REF!</v>
      </c>
      <c r="P28" t="e">
        <f>AND(#REF!,"AAAAAH7j7w8=")</f>
        <v>#REF!</v>
      </c>
      <c r="Q28" t="e">
        <f>AND(#REF!,"AAAAAH7j7xA=")</f>
        <v>#REF!</v>
      </c>
      <c r="R28" t="e">
        <f>AND(#REF!,"AAAAAH7j7xE=")</f>
        <v>#REF!</v>
      </c>
      <c r="S28" t="e">
        <f>AND(#REF!,"AAAAAH7j7xI=")</f>
        <v>#REF!</v>
      </c>
      <c r="T28" t="e">
        <f>AND(#REF!,"AAAAAH7j7xM=")</f>
        <v>#REF!</v>
      </c>
      <c r="U28" t="e">
        <f>AND(#REF!,"AAAAAH7j7xQ=")</f>
        <v>#REF!</v>
      </c>
      <c r="V28" t="e">
        <f>AND(#REF!,"AAAAAH7j7xU=")</f>
        <v>#REF!</v>
      </c>
      <c r="W28" t="e">
        <f>AND(#REF!,"AAAAAH7j7xY=")</f>
        <v>#REF!</v>
      </c>
      <c r="X28" t="e">
        <f>AND(#REF!,"AAAAAH7j7xc=")</f>
        <v>#REF!</v>
      </c>
      <c r="Y28" t="e">
        <f>AND(#REF!,"AAAAAH7j7xg=")</f>
        <v>#REF!</v>
      </c>
      <c r="Z28" t="e">
        <f>AND(#REF!,"AAAAAH7j7xk=")</f>
        <v>#REF!</v>
      </c>
      <c r="AA28" t="e">
        <f>AND(#REF!,"AAAAAH7j7xo=")</f>
        <v>#REF!</v>
      </c>
      <c r="AB28" t="e">
        <f>IF(#REF!,"AAAAAH7j7xs=",0)</f>
        <v>#REF!</v>
      </c>
      <c r="AC28" t="e">
        <f>AND(#REF!,"AAAAAH7j7xw=")</f>
        <v>#REF!</v>
      </c>
      <c r="AD28" t="e">
        <f>AND(#REF!,"AAAAAH7j7x0=")</f>
        <v>#REF!</v>
      </c>
      <c r="AE28" t="e">
        <f>AND(#REF!,"AAAAAH7j7x4=")</f>
        <v>#REF!</v>
      </c>
      <c r="AF28" t="e">
        <f>AND(#REF!,"AAAAAH7j7x8=")</f>
        <v>#REF!</v>
      </c>
      <c r="AG28" t="e">
        <f>AND(#REF!,"AAAAAH7j7yA=")</f>
        <v>#REF!</v>
      </c>
      <c r="AH28" t="e">
        <f>AND(#REF!,"AAAAAH7j7yE=")</f>
        <v>#REF!</v>
      </c>
      <c r="AI28" t="e">
        <f>AND(#REF!,"AAAAAH7j7yI=")</f>
        <v>#REF!</v>
      </c>
      <c r="AJ28" t="e">
        <f>AND(#REF!,"AAAAAH7j7yM=")</f>
        <v>#REF!</v>
      </c>
      <c r="AK28" t="e">
        <f>AND(#REF!,"AAAAAH7j7yQ=")</f>
        <v>#REF!</v>
      </c>
      <c r="AL28" t="e">
        <f>AND(#REF!,"AAAAAH7j7yU=")</f>
        <v>#REF!</v>
      </c>
      <c r="AM28" t="e">
        <f>AND(#REF!,"AAAAAH7j7yY=")</f>
        <v>#REF!</v>
      </c>
      <c r="AN28" t="e">
        <f>AND(#REF!,"AAAAAH7j7yc=")</f>
        <v>#REF!</v>
      </c>
      <c r="AO28" t="e">
        <f>AND(#REF!,"AAAAAH7j7yg=")</f>
        <v>#REF!</v>
      </c>
      <c r="AP28" t="e">
        <f>AND(#REF!,"AAAAAH7j7yk=")</f>
        <v>#REF!</v>
      </c>
      <c r="AQ28" t="e">
        <f>AND(#REF!,"AAAAAH7j7yo=")</f>
        <v>#REF!</v>
      </c>
      <c r="AR28" t="e">
        <f>IF(#REF!,"AAAAAH7j7ys=",0)</f>
        <v>#REF!</v>
      </c>
      <c r="AS28" t="e">
        <f>AND(#REF!,"AAAAAH7j7yw=")</f>
        <v>#REF!</v>
      </c>
      <c r="AT28" t="e">
        <f>AND(#REF!,"AAAAAH7j7y0=")</f>
        <v>#REF!</v>
      </c>
      <c r="AU28" t="e">
        <f>AND(#REF!,"AAAAAH7j7y4=")</f>
        <v>#REF!</v>
      </c>
      <c r="AV28" t="e">
        <f>AND(#REF!,"AAAAAH7j7y8=")</f>
        <v>#REF!</v>
      </c>
      <c r="AW28" t="e">
        <f>AND(#REF!,"AAAAAH7j7zA=")</f>
        <v>#REF!</v>
      </c>
      <c r="AX28" t="e">
        <f>AND(#REF!,"AAAAAH7j7zE=")</f>
        <v>#REF!</v>
      </c>
      <c r="AY28" t="e">
        <f>AND(#REF!,"AAAAAH7j7zI=")</f>
        <v>#REF!</v>
      </c>
      <c r="AZ28" t="e">
        <f>AND(#REF!,"AAAAAH7j7zM=")</f>
        <v>#REF!</v>
      </c>
      <c r="BA28" t="e">
        <f>AND(#REF!,"AAAAAH7j7zQ=")</f>
        <v>#REF!</v>
      </c>
      <c r="BB28" t="e">
        <f>AND(#REF!,"AAAAAH7j7zU=")</f>
        <v>#REF!</v>
      </c>
      <c r="BC28" t="e">
        <f>AND(#REF!,"AAAAAH7j7zY=")</f>
        <v>#REF!</v>
      </c>
      <c r="BD28" t="e">
        <f>AND(#REF!,"AAAAAH7j7zc=")</f>
        <v>#REF!</v>
      </c>
      <c r="BE28" t="e">
        <f>AND(#REF!,"AAAAAH7j7zg=")</f>
        <v>#REF!</v>
      </c>
      <c r="BF28" t="e">
        <f>AND(#REF!,"AAAAAH7j7zk=")</f>
        <v>#REF!</v>
      </c>
      <c r="BG28" t="e">
        <f>AND(#REF!,"AAAAAH7j7zo=")</f>
        <v>#REF!</v>
      </c>
      <c r="BH28" t="e">
        <f>IF(#REF!,"AAAAAH7j7zs=",0)</f>
        <v>#REF!</v>
      </c>
      <c r="BI28" t="e">
        <f>AND(#REF!,"AAAAAH7j7zw=")</f>
        <v>#REF!</v>
      </c>
      <c r="BJ28" t="e">
        <f>AND(#REF!,"AAAAAH7j7z0=")</f>
        <v>#REF!</v>
      </c>
      <c r="BK28" t="e">
        <f>AND(#REF!,"AAAAAH7j7z4=")</f>
        <v>#REF!</v>
      </c>
      <c r="BL28" t="e">
        <f>AND(#REF!,"AAAAAH7j7z8=")</f>
        <v>#REF!</v>
      </c>
      <c r="BM28" t="e">
        <f>AND(#REF!,"AAAAAH7j70A=")</f>
        <v>#REF!</v>
      </c>
      <c r="BN28" t="e">
        <f>AND(#REF!,"AAAAAH7j70E=")</f>
        <v>#REF!</v>
      </c>
      <c r="BO28" t="e">
        <f>AND(#REF!,"AAAAAH7j70I=")</f>
        <v>#REF!</v>
      </c>
      <c r="BP28" t="e">
        <f>AND(#REF!,"AAAAAH7j70M=")</f>
        <v>#REF!</v>
      </c>
      <c r="BQ28" t="e">
        <f>AND(#REF!,"AAAAAH7j70Q=")</f>
        <v>#REF!</v>
      </c>
      <c r="BR28" t="e">
        <f>AND(#REF!,"AAAAAH7j70U=")</f>
        <v>#REF!</v>
      </c>
      <c r="BS28" t="e">
        <f>AND(#REF!,"AAAAAH7j70Y=")</f>
        <v>#REF!</v>
      </c>
      <c r="BT28" t="e">
        <f>AND(#REF!,"AAAAAH7j70c=")</f>
        <v>#REF!</v>
      </c>
      <c r="BU28" t="e">
        <f>AND(#REF!,"AAAAAH7j70g=")</f>
        <v>#REF!</v>
      </c>
      <c r="BV28" t="e">
        <f>AND(#REF!,"AAAAAH7j70k=")</f>
        <v>#REF!</v>
      </c>
      <c r="BW28" t="e">
        <f>AND(#REF!,"AAAAAH7j70o=")</f>
        <v>#REF!</v>
      </c>
      <c r="BX28" t="e">
        <f>IF(#REF!,"AAAAAH7j70s=",0)</f>
        <v>#REF!</v>
      </c>
      <c r="BY28" t="e">
        <f>AND(#REF!,"AAAAAH7j70w=")</f>
        <v>#REF!</v>
      </c>
      <c r="BZ28" t="e">
        <f>AND(#REF!,"AAAAAH7j700=")</f>
        <v>#REF!</v>
      </c>
      <c r="CA28" t="e">
        <f>AND(#REF!,"AAAAAH7j704=")</f>
        <v>#REF!</v>
      </c>
      <c r="CB28" t="e">
        <f>AND(#REF!,"AAAAAH7j708=")</f>
        <v>#REF!</v>
      </c>
      <c r="CC28" t="e">
        <f>AND(#REF!,"AAAAAH7j71A=")</f>
        <v>#REF!</v>
      </c>
      <c r="CD28" t="e">
        <f>AND(#REF!,"AAAAAH7j71E=")</f>
        <v>#REF!</v>
      </c>
      <c r="CE28" t="e">
        <f>AND(#REF!,"AAAAAH7j71I=")</f>
        <v>#REF!</v>
      </c>
      <c r="CF28" t="e">
        <f>AND(#REF!,"AAAAAH7j71M=")</f>
        <v>#REF!</v>
      </c>
      <c r="CG28" t="e">
        <f>AND(#REF!,"AAAAAH7j71Q=")</f>
        <v>#REF!</v>
      </c>
      <c r="CH28" t="e">
        <f>AND(#REF!,"AAAAAH7j71U=")</f>
        <v>#REF!</v>
      </c>
      <c r="CI28" t="e">
        <f>AND(#REF!,"AAAAAH7j71Y=")</f>
        <v>#REF!</v>
      </c>
      <c r="CJ28" t="e">
        <f>AND(#REF!,"AAAAAH7j71c=")</f>
        <v>#REF!</v>
      </c>
      <c r="CK28" t="e">
        <f>AND(#REF!,"AAAAAH7j71g=")</f>
        <v>#REF!</v>
      </c>
      <c r="CL28" t="e">
        <f>AND(#REF!,"AAAAAH7j71k=")</f>
        <v>#REF!</v>
      </c>
      <c r="CM28" t="e">
        <f>AND(#REF!,"AAAAAH7j71o=")</f>
        <v>#REF!</v>
      </c>
      <c r="CN28" t="e">
        <f>IF(#REF!,"AAAAAH7j71s=",0)</f>
        <v>#REF!</v>
      </c>
      <c r="CO28" t="e">
        <f>AND(#REF!,"AAAAAH7j71w=")</f>
        <v>#REF!</v>
      </c>
      <c r="CP28" t="e">
        <f>AND(#REF!,"AAAAAH7j710=")</f>
        <v>#REF!</v>
      </c>
      <c r="CQ28" t="e">
        <f>AND(#REF!,"AAAAAH7j714=")</f>
        <v>#REF!</v>
      </c>
      <c r="CR28" t="e">
        <f>AND(#REF!,"AAAAAH7j718=")</f>
        <v>#REF!</v>
      </c>
      <c r="CS28" t="e">
        <f>AND(#REF!,"AAAAAH7j72A=")</f>
        <v>#REF!</v>
      </c>
      <c r="CT28" t="e">
        <f>AND(#REF!,"AAAAAH7j72E=")</f>
        <v>#REF!</v>
      </c>
      <c r="CU28" t="e">
        <f>AND(#REF!,"AAAAAH7j72I=")</f>
        <v>#REF!</v>
      </c>
      <c r="CV28" t="e">
        <f>AND(#REF!,"AAAAAH7j72M=")</f>
        <v>#REF!</v>
      </c>
      <c r="CW28" t="e">
        <f>AND(#REF!,"AAAAAH7j72Q=")</f>
        <v>#REF!</v>
      </c>
      <c r="CX28" t="e">
        <f>AND(#REF!,"AAAAAH7j72U=")</f>
        <v>#REF!</v>
      </c>
      <c r="CY28" t="e">
        <f>AND(#REF!,"AAAAAH7j72Y=")</f>
        <v>#REF!</v>
      </c>
      <c r="CZ28" t="e">
        <f>AND(#REF!,"AAAAAH7j72c=")</f>
        <v>#REF!</v>
      </c>
      <c r="DA28" t="e">
        <f>AND(#REF!,"AAAAAH7j72g=")</f>
        <v>#REF!</v>
      </c>
      <c r="DB28" t="e">
        <f>AND(#REF!,"AAAAAH7j72k=")</f>
        <v>#REF!</v>
      </c>
      <c r="DC28" t="e">
        <f>AND(#REF!,"AAAAAH7j72o=")</f>
        <v>#REF!</v>
      </c>
      <c r="DD28" t="e">
        <f>IF(#REF!,"AAAAAH7j72s=",0)</f>
        <v>#REF!</v>
      </c>
      <c r="DE28" t="e">
        <f>AND(#REF!,"AAAAAH7j72w=")</f>
        <v>#REF!</v>
      </c>
      <c r="DF28" t="e">
        <f>AND(#REF!,"AAAAAH7j720=")</f>
        <v>#REF!</v>
      </c>
      <c r="DG28" t="e">
        <f>AND(#REF!,"AAAAAH7j724=")</f>
        <v>#REF!</v>
      </c>
      <c r="DH28" t="e">
        <f>AND(#REF!,"AAAAAH7j728=")</f>
        <v>#REF!</v>
      </c>
      <c r="DI28" t="e">
        <f>AND(#REF!,"AAAAAH7j73A=")</f>
        <v>#REF!</v>
      </c>
      <c r="DJ28" t="e">
        <f>AND(#REF!,"AAAAAH7j73E=")</f>
        <v>#REF!</v>
      </c>
      <c r="DK28" t="e">
        <f>AND(#REF!,"AAAAAH7j73I=")</f>
        <v>#REF!</v>
      </c>
      <c r="DL28" t="e">
        <f>AND(#REF!,"AAAAAH7j73M=")</f>
        <v>#REF!</v>
      </c>
      <c r="DM28" t="e">
        <f>AND(#REF!,"AAAAAH7j73Q=")</f>
        <v>#REF!</v>
      </c>
      <c r="DN28" t="e">
        <f>AND(#REF!,"AAAAAH7j73U=")</f>
        <v>#REF!</v>
      </c>
      <c r="DO28" t="e">
        <f>AND(#REF!,"AAAAAH7j73Y=")</f>
        <v>#REF!</v>
      </c>
      <c r="DP28" t="e">
        <f>AND(#REF!,"AAAAAH7j73c=")</f>
        <v>#REF!</v>
      </c>
      <c r="DQ28" t="e">
        <f>AND(#REF!,"AAAAAH7j73g=")</f>
        <v>#REF!</v>
      </c>
      <c r="DR28" t="e">
        <f>AND(#REF!,"AAAAAH7j73k=")</f>
        <v>#REF!</v>
      </c>
      <c r="DS28" t="e">
        <f>AND(#REF!,"AAAAAH7j73o=")</f>
        <v>#REF!</v>
      </c>
      <c r="DT28" t="e">
        <f>IF(#REF!,"AAAAAH7j73s=",0)</f>
        <v>#REF!</v>
      </c>
      <c r="DU28" t="e">
        <f>AND(#REF!,"AAAAAH7j73w=")</f>
        <v>#REF!</v>
      </c>
      <c r="DV28" t="e">
        <f>AND(#REF!,"AAAAAH7j730=")</f>
        <v>#REF!</v>
      </c>
      <c r="DW28" t="e">
        <f>AND(#REF!,"AAAAAH7j734=")</f>
        <v>#REF!</v>
      </c>
      <c r="DX28" t="e">
        <f>AND(#REF!,"AAAAAH7j738=")</f>
        <v>#REF!</v>
      </c>
      <c r="DY28" t="e">
        <f>AND(#REF!,"AAAAAH7j74A=")</f>
        <v>#REF!</v>
      </c>
      <c r="DZ28" t="e">
        <f>AND(#REF!,"AAAAAH7j74E=")</f>
        <v>#REF!</v>
      </c>
      <c r="EA28" t="e">
        <f>AND(#REF!,"AAAAAH7j74I=")</f>
        <v>#REF!</v>
      </c>
      <c r="EB28" t="e">
        <f>AND(#REF!,"AAAAAH7j74M=")</f>
        <v>#REF!</v>
      </c>
      <c r="EC28" t="e">
        <f>AND(#REF!,"AAAAAH7j74Q=")</f>
        <v>#REF!</v>
      </c>
      <c r="ED28" t="e">
        <f>AND(#REF!,"AAAAAH7j74U=")</f>
        <v>#REF!</v>
      </c>
      <c r="EE28" t="e">
        <f>AND(#REF!,"AAAAAH7j74Y=")</f>
        <v>#REF!</v>
      </c>
      <c r="EF28" t="e">
        <f>AND(#REF!,"AAAAAH7j74c=")</f>
        <v>#REF!</v>
      </c>
      <c r="EG28" t="e">
        <f>AND(#REF!,"AAAAAH7j74g=")</f>
        <v>#REF!</v>
      </c>
      <c r="EH28" t="e">
        <f>AND(#REF!,"AAAAAH7j74k=")</f>
        <v>#REF!</v>
      </c>
      <c r="EI28" t="e">
        <f>AND(#REF!,"AAAAAH7j74o=")</f>
        <v>#REF!</v>
      </c>
      <c r="EJ28" t="e">
        <f>IF(#REF!,"AAAAAH7j74s=",0)</f>
        <v>#REF!</v>
      </c>
      <c r="EK28" t="e">
        <f>AND(#REF!,"AAAAAH7j74w=")</f>
        <v>#REF!</v>
      </c>
      <c r="EL28" t="e">
        <f>AND(#REF!,"AAAAAH7j740=")</f>
        <v>#REF!</v>
      </c>
      <c r="EM28" t="e">
        <f>AND(#REF!,"AAAAAH7j744=")</f>
        <v>#REF!</v>
      </c>
      <c r="EN28" t="e">
        <f>AND(#REF!,"AAAAAH7j748=")</f>
        <v>#REF!</v>
      </c>
      <c r="EO28" t="e">
        <f>AND(#REF!,"AAAAAH7j75A=")</f>
        <v>#REF!</v>
      </c>
      <c r="EP28" t="e">
        <f>AND(#REF!,"AAAAAH7j75E=")</f>
        <v>#REF!</v>
      </c>
      <c r="EQ28" t="e">
        <f>AND(#REF!,"AAAAAH7j75I=")</f>
        <v>#REF!</v>
      </c>
      <c r="ER28" t="e">
        <f>AND(#REF!,"AAAAAH7j75M=")</f>
        <v>#REF!</v>
      </c>
      <c r="ES28" t="e">
        <f>AND(#REF!,"AAAAAH7j75Q=")</f>
        <v>#REF!</v>
      </c>
      <c r="ET28" t="e">
        <f>AND(#REF!,"AAAAAH7j75U=")</f>
        <v>#REF!</v>
      </c>
      <c r="EU28" t="e">
        <f>AND(#REF!,"AAAAAH7j75Y=")</f>
        <v>#REF!</v>
      </c>
      <c r="EV28" t="e">
        <f>AND(#REF!,"AAAAAH7j75c=")</f>
        <v>#REF!</v>
      </c>
      <c r="EW28" t="e">
        <f>AND(#REF!,"AAAAAH7j75g=")</f>
        <v>#REF!</v>
      </c>
      <c r="EX28" t="e">
        <f>AND(#REF!,"AAAAAH7j75k=")</f>
        <v>#REF!</v>
      </c>
      <c r="EY28" t="e">
        <f>AND(#REF!,"AAAAAH7j75o=")</f>
        <v>#REF!</v>
      </c>
      <c r="EZ28" t="e">
        <f>IF(#REF!,"AAAAAH7j75s=",0)</f>
        <v>#REF!</v>
      </c>
      <c r="FA28" t="e">
        <f>AND(#REF!,"AAAAAH7j75w=")</f>
        <v>#REF!</v>
      </c>
      <c r="FB28" t="e">
        <f>AND(#REF!,"AAAAAH7j750=")</f>
        <v>#REF!</v>
      </c>
      <c r="FC28" t="e">
        <f>AND(#REF!,"AAAAAH7j754=")</f>
        <v>#REF!</v>
      </c>
      <c r="FD28" t="e">
        <f>AND(#REF!,"AAAAAH7j758=")</f>
        <v>#REF!</v>
      </c>
      <c r="FE28" t="e">
        <f>AND(#REF!,"AAAAAH7j76A=")</f>
        <v>#REF!</v>
      </c>
      <c r="FF28" t="e">
        <f>AND(#REF!,"AAAAAH7j76E=")</f>
        <v>#REF!</v>
      </c>
      <c r="FG28" t="e">
        <f>AND(#REF!,"AAAAAH7j76I=")</f>
        <v>#REF!</v>
      </c>
      <c r="FH28" t="e">
        <f>AND(#REF!,"AAAAAH7j76M=")</f>
        <v>#REF!</v>
      </c>
      <c r="FI28" t="e">
        <f>AND(#REF!,"AAAAAH7j76Q=")</f>
        <v>#REF!</v>
      </c>
      <c r="FJ28" t="e">
        <f>AND(#REF!,"AAAAAH7j76U=")</f>
        <v>#REF!</v>
      </c>
      <c r="FK28" t="e">
        <f>AND(#REF!,"AAAAAH7j76Y=")</f>
        <v>#REF!</v>
      </c>
      <c r="FL28" t="e">
        <f>AND(#REF!,"AAAAAH7j76c=")</f>
        <v>#REF!</v>
      </c>
      <c r="FM28" t="e">
        <f>AND(#REF!,"AAAAAH7j76g=")</f>
        <v>#REF!</v>
      </c>
      <c r="FN28" t="e">
        <f>AND(#REF!,"AAAAAH7j76k=")</f>
        <v>#REF!</v>
      </c>
      <c r="FO28" t="e">
        <f>AND(#REF!,"AAAAAH7j76o=")</f>
        <v>#REF!</v>
      </c>
      <c r="FP28" t="e">
        <f>IF(#REF!,"AAAAAH7j76s=",0)</f>
        <v>#REF!</v>
      </c>
      <c r="FQ28" t="e">
        <f>AND(#REF!,"AAAAAH7j76w=")</f>
        <v>#REF!</v>
      </c>
      <c r="FR28" t="e">
        <f>AND(#REF!,"AAAAAH7j760=")</f>
        <v>#REF!</v>
      </c>
      <c r="FS28" t="e">
        <f>AND(#REF!,"AAAAAH7j764=")</f>
        <v>#REF!</v>
      </c>
      <c r="FT28" t="e">
        <f>AND(#REF!,"AAAAAH7j768=")</f>
        <v>#REF!</v>
      </c>
      <c r="FU28" t="e">
        <f>AND(#REF!,"AAAAAH7j77A=")</f>
        <v>#REF!</v>
      </c>
      <c r="FV28" t="e">
        <f>AND(#REF!,"AAAAAH7j77E=")</f>
        <v>#REF!</v>
      </c>
      <c r="FW28" t="e">
        <f>AND(#REF!,"AAAAAH7j77I=")</f>
        <v>#REF!</v>
      </c>
      <c r="FX28" t="e">
        <f>AND(#REF!,"AAAAAH7j77M=")</f>
        <v>#REF!</v>
      </c>
      <c r="FY28" t="e">
        <f>AND(#REF!,"AAAAAH7j77Q=")</f>
        <v>#REF!</v>
      </c>
      <c r="FZ28" t="e">
        <f>AND(#REF!,"AAAAAH7j77U=")</f>
        <v>#REF!</v>
      </c>
      <c r="GA28" t="e">
        <f>AND(#REF!,"AAAAAH7j77Y=")</f>
        <v>#REF!</v>
      </c>
      <c r="GB28" t="e">
        <f>AND(#REF!,"AAAAAH7j77c=")</f>
        <v>#REF!</v>
      </c>
      <c r="GC28" t="e">
        <f>AND(#REF!,"AAAAAH7j77g=")</f>
        <v>#REF!</v>
      </c>
      <c r="GD28" t="e">
        <f>AND(#REF!,"AAAAAH7j77k=")</f>
        <v>#REF!</v>
      </c>
      <c r="GE28" t="e">
        <f>AND(#REF!,"AAAAAH7j77o=")</f>
        <v>#REF!</v>
      </c>
      <c r="GF28" t="e">
        <f>IF(#REF!,"AAAAAH7j77s=",0)</f>
        <v>#REF!</v>
      </c>
      <c r="GG28" t="e">
        <f>AND(#REF!,"AAAAAH7j77w=")</f>
        <v>#REF!</v>
      </c>
      <c r="GH28" t="e">
        <f>AND(#REF!,"AAAAAH7j770=")</f>
        <v>#REF!</v>
      </c>
      <c r="GI28" t="e">
        <f>AND(#REF!,"AAAAAH7j774=")</f>
        <v>#REF!</v>
      </c>
      <c r="GJ28" t="e">
        <f>AND(#REF!,"AAAAAH7j778=")</f>
        <v>#REF!</v>
      </c>
      <c r="GK28" t="e">
        <f>AND(#REF!,"AAAAAH7j78A=")</f>
        <v>#REF!</v>
      </c>
      <c r="GL28" t="e">
        <f>AND(#REF!,"AAAAAH7j78E=")</f>
        <v>#REF!</v>
      </c>
      <c r="GM28" t="e">
        <f>AND(#REF!,"AAAAAH7j78I=")</f>
        <v>#REF!</v>
      </c>
      <c r="GN28" t="e">
        <f>AND(#REF!,"AAAAAH7j78M=")</f>
        <v>#REF!</v>
      </c>
      <c r="GO28" t="e">
        <f>AND(#REF!,"AAAAAH7j78Q=")</f>
        <v>#REF!</v>
      </c>
      <c r="GP28" t="e">
        <f>AND(#REF!,"AAAAAH7j78U=")</f>
        <v>#REF!</v>
      </c>
      <c r="GQ28" t="e">
        <f>AND(#REF!,"AAAAAH7j78Y=")</f>
        <v>#REF!</v>
      </c>
      <c r="GR28" t="e">
        <f>AND(#REF!,"AAAAAH7j78c=")</f>
        <v>#REF!</v>
      </c>
      <c r="GS28" t="e">
        <f>AND(#REF!,"AAAAAH7j78g=")</f>
        <v>#REF!</v>
      </c>
      <c r="GT28" t="e">
        <f>AND(#REF!,"AAAAAH7j78k=")</f>
        <v>#REF!</v>
      </c>
      <c r="GU28" t="e">
        <f>AND(#REF!,"AAAAAH7j78o=")</f>
        <v>#REF!</v>
      </c>
      <c r="GV28" t="e">
        <f>IF(#REF!,"AAAAAH7j78s=",0)</f>
        <v>#REF!</v>
      </c>
      <c r="GW28" t="e">
        <f>AND(#REF!,"AAAAAH7j78w=")</f>
        <v>#REF!</v>
      </c>
      <c r="GX28" t="e">
        <f>AND(#REF!,"AAAAAH7j780=")</f>
        <v>#REF!</v>
      </c>
      <c r="GY28" t="e">
        <f>AND(#REF!,"AAAAAH7j784=")</f>
        <v>#REF!</v>
      </c>
      <c r="GZ28" t="e">
        <f>AND(#REF!,"AAAAAH7j788=")</f>
        <v>#REF!</v>
      </c>
      <c r="HA28" t="e">
        <f>AND(#REF!,"AAAAAH7j79A=")</f>
        <v>#REF!</v>
      </c>
      <c r="HB28" t="e">
        <f>AND(#REF!,"AAAAAH7j79E=")</f>
        <v>#REF!</v>
      </c>
      <c r="HC28" t="e">
        <f>AND(#REF!,"AAAAAH7j79I=")</f>
        <v>#REF!</v>
      </c>
      <c r="HD28" t="e">
        <f>AND(#REF!,"AAAAAH7j79M=")</f>
        <v>#REF!</v>
      </c>
      <c r="HE28" t="e">
        <f>AND(#REF!,"AAAAAH7j79Q=")</f>
        <v>#REF!</v>
      </c>
      <c r="HF28" t="e">
        <f>AND(#REF!,"AAAAAH7j79U=")</f>
        <v>#REF!</v>
      </c>
      <c r="HG28" t="e">
        <f>AND(#REF!,"AAAAAH7j79Y=")</f>
        <v>#REF!</v>
      </c>
      <c r="HH28" t="e">
        <f>AND(#REF!,"AAAAAH7j79c=")</f>
        <v>#REF!</v>
      </c>
      <c r="HI28" t="e">
        <f>AND(#REF!,"AAAAAH7j79g=")</f>
        <v>#REF!</v>
      </c>
      <c r="HJ28" t="e">
        <f>AND(#REF!,"AAAAAH7j79k=")</f>
        <v>#REF!</v>
      </c>
      <c r="HK28" t="e">
        <f>AND(#REF!,"AAAAAH7j79o=")</f>
        <v>#REF!</v>
      </c>
      <c r="HL28" t="e">
        <f>IF(#REF!,"AAAAAH7j79s=",0)</f>
        <v>#REF!</v>
      </c>
      <c r="HM28" t="e">
        <f>AND(#REF!,"AAAAAH7j79w=")</f>
        <v>#REF!</v>
      </c>
      <c r="HN28" t="e">
        <f>AND(#REF!,"AAAAAH7j790=")</f>
        <v>#REF!</v>
      </c>
      <c r="HO28" t="e">
        <f>AND(#REF!,"AAAAAH7j794=")</f>
        <v>#REF!</v>
      </c>
      <c r="HP28" t="e">
        <f>AND(#REF!,"AAAAAH7j798=")</f>
        <v>#REF!</v>
      </c>
      <c r="HQ28" t="e">
        <f>AND(#REF!,"AAAAAH7j7+A=")</f>
        <v>#REF!</v>
      </c>
      <c r="HR28" t="e">
        <f>AND(#REF!,"AAAAAH7j7+E=")</f>
        <v>#REF!</v>
      </c>
      <c r="HS28" t="e">
        <f>AND(#REF!,"AAAAAH7j7+I=")</f>
        <v>#REF!</v>
      </c>
      <c r="HT28" t="e">
        <f>AND(#REF!,"AAAAAH7j7+M=")</f>
        <v>#REF!</v>
      </c>
      <c r="HU28" t="e">
        <f>AND(#REF!,"AAAAAH7j7+Q=")</f>
        <v>#REF!</v>
      </c>
      <c r="HV28" t="e">
        <f>AND(#REF!,"AAAAAH7j7+U=")</f>
        <v>#REF!</v>
      </c>
      <c r="HW28" t="e">
        <f>AND(#REF!,"AAAAAH7j7+Y=")</f>
        <v>#REF!</v>
      </c>
      <c r="HX28" t="e">
        <f>AND(#REF!,"AAAAAH7j7+c=")</f>
        <v>#REF!</v>
      </c>
      <c r="HY28" t="e">
        <f>AND(#REF!,"AAAAAH7j7+g=")</f>
        <v>#REF!</v>
      </c>
      <c r="HZ28" t="e">
        <f>AND(#REF!,"AAAAAH7j7+k=")</f>
        <v>#REF!</v>
      </c>
      <c r="IA28" t="e">
        <f>AND(#REF!,"AAAAAH7j7+o=")</f>
        <v>#REF!</v>
      </c>
      <c r="IB28" t="e">
        <f>IF(#REF!,"AAAAAH7j7+s=",0)</f>
        <v>#REF!</v>
      </c>
      <c r="IC28" t="e">
        <f>AND(#REF!,"AAAAAH7j7+w=")</f>
        <v>#REF!</v>
      </c>
      <c r="ID28" t="e">
        <f>AND(#REF!,"AAAAAH7j7+0=")</f>
        <v>#REF!</v>
      </c>
      <c r="IE28" t="e">
        <f>AND(#REF!,"AAAAAH7j7+4=")</f>
        <v>#REF!</v>
      </c>
      <c r="IF28" t="e">
        <f>AND(#REF!,"AAAAAH7j7+8=")</f>
        <v>#REF!</v>
      </c>
      <c r="IG28" t="e">
        <f>AND(#REF!,"AAAAAH7j7/A=")</f>
        <v>#REF!</v>
      </c>
      <c r="IH28" t="e">
        <f>AND(#REF!,"AAAAAH7j7/E=")</f>
        <v>#REF!</v>
      </c>
      <c r="II28" t="e">
        <f>AND(#REF!,"AAAAAH7j7/I=")</f>
        <v>#REF!</v>
      </c>
      <c r="IJ28" t="e">
        <f>AND(#REF!,"AAAAAH7j7/M=")</f>
        <v>#REF!</v>
      </c>
      <c r="IK28" t="e">
        <f>AND(#REF!,"AAAAAH7j7/Q=")</f>
        <v>#REF!</v>
      </c>
      <c r="IL28" t="e">
        <f>AND(#REF!,"AAAAAH7j7/U=")</f>
        <v>#REF!</v>
      </c>
      <c r="IM28" t="e">
        <f>AND(#REF!,"AAAAAH7j7/Y=")</f>
        <v>#REF!</v>
      </c>
      <c r="IN28" t="e">
        <f>AND(#REF!,"AAAAAH7j7/c=")</f>
        <v>#REF!</v>
      </c>
      <c r="IO28" t="e">
        <f>AND(#REF!,"AAAAAH7j7/g=")</f>
        <v>#REF!</v>
      </c>
      <c r="IP28" t="e">
        <f>AND(#REF!,"AAAAAH7j7/k=")</f>
        <v>#REF!</v>
      </c>
      <c r="IQ28" t="e">
        <f>AND(#REF!,"AAAAAH7j7/o=")</f>
        <v>#REF!</v>
      </c>
      <c r="IR28" t="e">
        <f>IF(#REF!,"AAAAAH7j7/s=",0)</f>
        <v>#REF!</v>
      </c>
      <c r="IS28" t="e">
        <f>AND(#REF!,"AAAAAH7j7/w=")</f>
        <v>#REF!</v>
      </c>
      <c r="IT28" t="e">
        <f>AND(#REF!,"AAAAAH7j7/0=")</f>
        <v>#REF!</v>
      </c>
      <c r="IU28" t="e">
        <f>AND(#REF!,"AAAAAH7j7/4=")</f>
        <v>#REF!</v>
      </c>
      <c r="IV28" t="e">
        <f>AND(#REF!,"AAAAAH7j7/8=")</f>
        <v>#REF!</v>
      </c>
    </row>
    <row r="29" spans="1:256">
      <c r="A29" t="e">
        <f>AND(#REF!,"AAAAAHuTbwA=")</f>
        <v>#REF!</v>
      </c>
      <c r="B29" t="e">
        <f>AND(#REF!,"AAAAAHuTbwE=")</f>
        <v>#REF!</v>
      </c>
      <c r="C29" t="e">
        <f>AND(#REF!,"AAAAAHuTbwI=")</f>
        <v>#REF!</v>
      </c>
      <c r="D29" t="e">
        <f>AND(#REF!,"AAAAAHuTbwM=")</f>
        <v>#REF!</v>
      </c>
      <c r="E29" t="e">
        <f>AND(#REF!,"AAAAAHuTbwQ=")</f>
        <v>#REF!</v>
      </c>
      <c r="F29" t="e">
        <f>AND(#REF!,"AAAAAHuTbwU=")</f>
        <v>#REF!</v>
      </c>
      <c r="G29" t="e">
        <f>AND(#REF!,"AAAAAHuTbwY=")</f>
        <v>#REF!</v>
      </c>
      <c r="H29" t="e">
        <f>AND(#REF!,"AAAAAHuTbwc=")</f>
        <v>#REF!</v>
      </c>
      <c r="I29" t="e">
        <f>AND(#REF!,"AAAAAHuTbwg=")</f>
        <v>#REF!</v>
      </c>
      <c r="J29" t="e">
        <f>AND(#REF!,"AAAAAHuTbwk=")</f>
        <v>#REF!</v>
      </c>
      <c r="K29" t="e">
        <f>AND(#REF!,"AAAAAHuTbwo=")</f>
        <v>#REF!</v>
      </c>
      <c r="L29" t="e">
        <f>IF(#REF!,"AAAAAHuTbws=",0)</f>
        <v>#REF!</v>
      </c>
      <c r="M29" t="e">
        <f>AND(#REF!,"AAAAAHuTbww=")</f>
        <v>#REF!</v>
      </c>
      <c r="N29" t="e">
        <f>AND(#REF!,"AAAAAHuTbw0=")</f>
        <v>#REF!</v>
      </c>
      <c r="O29" t="e">
        <f>AND(#REF!,"AAAAAHuTbw4=")</f>
        <v>#REF!</v>
      </c>
      <c r="P29" t="e">
        <f>AND(#REF!,"AAAAAHuTbw8=")</f>
        <v>#REF!</v>
      </c>
      <c r="Q29" t="e">
        <f>AND(#REF!,"AAAAAHuTbxA=")</f>
        <v>#REF!</v>
      </c>
      <c r="R29" t="e">
        <f>AND(#REF!,"AAAAAHuTbxE=")</f>
        <v>#REF!</v>
      </c>
      <c r="S29" t="e">
        <f>AND(#REF!,"AAAAAHuTbxI=")</f>
        <v>#REF!</v>
      </c>
      <c r="T29" t="e">
        <f>AND(#REF!,"AAAAAHuTbxM=")</f>
        <v>#REF!</v>
      </c>
      <c r="U29" t="e">
        <f>AND(#REF!,"AAAAAHuTbxQ=")</f>
        <v>#REF!</v>
      </c>
      <c r="V29" t="e">
        <f>AND(#REF!,"AAAAAHuTbxU=")</f>
        <v>#REF!</v>
      </c>
      <c r="W29" t="e">
        <f>AND(#REF!,"AAAAAHuTbxY=")</f>
        <v>#REF!</v>
      </c>
      <c r="X29" t="e">
        <f>AND(#REF!,"AAAAAHuTbxc=")</f>
        <v>#REF!</v>
      </c>
      <c r="Y29" t="e">
        <f>AND(#REF!,"AAAAAHuTbxg=")</f>
        <v>#REF!</v>
      </c>
      <c r="Z29" t="e">
        <f>AND(#REF!,"AAAAAHuTbxk=")</f>
        <v>#REF!</v>
      </c>
      <c r="AA29" t="e">
        <f>AND(#REF!,"AAAAAHuTbxo=")</f>
        <v>#REF!</v>
      </c>
      <c r="AB29" t="e">
        <f>IF(#REF!,"AAAAAHuTbxs=",0)</f>
        <v>#REF!</v>
      </c>
      <c r="AC29" t="e">
        <f>AND(#REF!,"AAAAAHuTbxw=")</f>
        <v>#REF!</v>
      </c>
      <c r="AD29" t="e">
        <f>AND(#REF!,"AAAAAHuTbx0=")</f>
        <v>#REF!</v>
      </c>
      <c r="AE29" t="e">
        <f>AND(#REF!,"AAAAAHuTbx4=")</f>
        <v>#REF!</v>
      </c>
      <c r="AF29" t="e">
        <f>AND(#REF!,"AAAAAHuTbx8=")</f>
        <v>#REF!</v>
      </c>
      <c r="AG29" t="e">
        <f>AND(#REF!,"AAAAAHuTbyA=")</f>
        <v>#REF!</v>
      </c>
      <c r="AH29" t="e">
        <f>AND(#REF!,"AAAAAHuTbyE=")</f>
        <v>#REF!</v>
      </c>
      <c r="AI29" t="e">
        <f>AND(#REF!,"AAAAAHuTbyI=")</f>
        <v>#REF!</v>
      </c>
      <c r="AJ29" t="e">
        <f>AND(#REF!,"AAAAAHuTbyM=")</f>
        <v>#REF!</v>
      </c>
      <c r="AK29" t="e">
        <f>AND(#REF!,"AAAAAHuTbyQ=")</f>
        <v>#REF!</v>
      </c>
      <c r="AL29" t="e">
        <f>AND(#REF!,"AAAAAHuTbyU=")</f>
        <v>#REF!</v>
      </c>
      <c r="AM29" t="e">
        <f>AND(#REF!,"AAAAAHuTbyY=")</f>
        <v>#REF!</v>
      </c>
      <c r="AN29" t="e">
        <f>AND(#REF!,"AAAAAHuTbyc=")</f>
        <v>#REF!</v>
      </c>
      <c r="AO29" t="e">
        <f>AND(#REF!,"AAAAAHuTbyg=")</f>
        <v>#REF!</v>
      </c>
      <c r="AP29" t="e">
        <f>AND(#REF!,"AAAAAHuTbyk=")</f>
        <v>#REF!</v>
      </c>
      <c r="AQ29" t="e">
        <f>AND(#REF!,"AAAAAHuTbyo=")</f>
        <v>#REF!</v>
      </c>
      <c r="AR29" t="e">
        <f>IF(#REF!,"AAAAAHuTbys=",0)</f>
        <v>#REF!</v>
      </c>
      <c r="AS29" t="e">
        <f>AND(#REF!,"AAAAAHuTbyw=")</f>
        <v>#REF!</v>
      </c>
      <c r="AT29" t="e">
        <f>AND(#REF!,"AAAAAHuTby0=")</f>
        <v>#REF!</v>
      </c>
      <c r="AU29" t="e">
        <f>AND(#REF!,"AAAAAHuTby4=")</f>
        <v>#REF!</v>
      </c>
      <c r="AV29" t="e">
        <f>AND(#REF!,"AAAAAHuTby8=")</f>
        <v>#REF!</v>
      </c>
      <c r="AW29" t="e">
        <f>AND(#REF!,"AAAAAHuTbzA=")</f>
        <v>#REF!</v>
      </c>
      <c r="AX29" t="e">
        <f>AND(#REF!,"AAAAAHuTbzE=")</f>
        <v>#REF!</v>
      </c>
      <c r="AY29" t="e">
        <f>AND(#REF!,"AAAAAHuTbzI=")</f>
        <v>#REF!</v>
      </c>
      <c r="AZ29" t="e">
        <f>AND(#REF!,"AAAAAHuTbzM=")</f>
        <v>#REF!</v>
      </c>
      <c r="BA29" t="e">
        <f>AND(#REF!,"AAAAAHuTbzQ=")</f>
        <v>#REF!</v>
      </c>
      <c r="BB29" t="e">
        <f>AND(#REF!,"AAAAAHuTbzU=")</f>
        <v>#REF!</v>
      </c>
      <c r="BC29" t="e">
        <f>AND(#REF!,"AAAAAHuTbzY=")</f>
        <v>#REF!</v>
      </c>
      <c r="BD29" t="e">
        <f>AND(#REF!,"AAAAAHuTbzc=")</f>
        <v>#REF!</v>
      </c>
      <c r="BE29" t="e">
        <f>AND(#REF!,"AAAAAHuTbzg=")</f>
        <v>#REF!</v>
      </c>
      <c r="BF29" t="e">
        <f>AND(#REF!,"AAAAAHuTbzk=")</f>
        <v>#REF!</v>
      </c>
      <c r="BG29" t="e">
        <f>AND(#REF!,"AAAAAHuTbzo=")</f>
        <v>#REF!</v>
      </c>
      <c r="BH29" t="e">
        <f>IF(#REF!,"AAAAAHuTbzs=",0)</f>
        <v>#REF!</v>
      </c>
      <c r="BI29" t="e">
        <f>AND(#REF!,"AAAAAHuTbzw=")</f>
        <v>#REF!</v>
      </c>
      <c r="BJ29" t="e">
        <f>AND(#REF!,"AAAAAHuTbz0=")</f>
        <v>#REF!</v>
      </c>
      <c r="BK29" t="e">
        <f>AND(#REF!,"AAAAAHuTbz4=")</f>
        <v>#REF!</v>
      </c>
      <c r="BL29" t="e">
        <f>AND(#REF!,"AAAAAHuTbz8=")</f>
        <v>#REF!</v>
      </c>
      <c r="BM29" t="e">
        <f>AND(#REF!,"AAAAAHuTb0A=")</f>
        <v>#REF!</v>
      </c>
      <c r="BN29" t="e">
        <f>AND(#REF!,"AAAAAHuTb0E=")</f>
        <v>#REF!</v>
      </c>
      <c r="BO29" t="e">
        <f>AND(#REF!,"AAAAAHuTb0I=")</f>
        <v>#REF!</v>
      </c>
      <c r="BP29" t="e">
        <f>AND(#REF!,"AAAAAHuTb0M=")</f>
        <v>#REF!</v>
      </c>
      <c r="BQ29" t="e">
        <f>AND(#REF!,"AAAAAHuTb0Q=")</f>
        <v>#REF!</v>
      </c>
      <c r="BR29" t="e">
        <f>AND(#REF!,"AAAAAHuTb0U=")</f>
        <v>#REF!</v>
      </c>
      <c r="BS29" t="e">
        <f>AND(#REF!,"AAAAAHuTb0Y=")</f>
        <v>#REF!</v>
      </c>
      <c r="BT29" t="e">
        <f>AND(#REF!,"AAAAAHuTb0c=")</f>
        <v>#REF!</v>
      </c>
      <c r="BU29" t="e">
        <f>AND(#REF!,"AAAAAHuTb0g=")</f>
        <v>#REF!</v>
      </c>
      <c r="BV29" t="e">
        <f>AND(#REF!,"AAAAAHuTb0k=")</f>
        <v>#REF!</v>
      </c>
      <c r="BW29" t="e">
        <f>AND(#REF!,"AAAAAHuTb0o=")</f>
        <v>#REF!</v>
      </c>
      <c r="BX29" t="e">
        <f>IF(#REF!,"AAAAAHuTb0s=",0)</f>
        <v>#REF!</v>
      </c>
      <c r="BY29" t="e">
        <f>AND(#REF!,"AAAAAHuTb0w=")</f>
        <v>#REF!</v>
      </c>
      <c r="BZ29" t="e">
        <f>AND(#REF!,"AAAAAHuTb00=")</f>
        <v>#REF!</v>
      </c>
      <c r="CA29" t="e">
        <f>AND(#REF!,"AAAAAHuTb04=")</f>
        <v>#REF!</v>
      </c>
      <c r="CB29" t="e">
        <f>AND(#REF!,"AAAAAHuTb08=")</f>
        <v>#REF!</v>
      </c>
      <c r="CC29" t="e">
        <f>AND(#REF!,"AAAAAHuTb1A=")</f>
        <v>#REF!</v>
      </c>
      <c r="CD29" t="e">
        <f>AND(#REF!,"AAAAAHuTb1E=")</f>
        <v>#REF!</v>
      </c>
      <c r="CE29" t="e">
        <f>AND(#REF!,"AAAAAHuTb1I=")</f>
        <v>#REF!</v>
      </c>
      <c r="CF29" t="e">
        <f>AND(#REF!,"AAAAAHuTb1M=")</f>
        <v>#REF!</v>
      </c>
      <c r="CG29" t="e">
        <f>AND(#REF!,"AAAAAHuTb1Q=")</f>
        <v>#REF!</v>
      </c>
      <c r="CH29" t="e">
        <f>AND(#REF!,"AAAAAHuTb1U=")</f>
        <v>#REF!</v>
      </c>
      <c r="CI29" t="e">
        <f>AND(#REF!,"AAAAAHuTb1Y=")</f>
        <v>#REF!</v>
      </c>
      <c r="CJ29" t="e">
        <f>AND(#REF!,"AAAAAHuTb1c=")</f>
        <v>#REF!</v>
      </c>
      <c r="CK29" t="e">
        <f>AND(#REF!,"AAAAAHuTb1g=")</f>
        <v>#REF!</v>
      </c>
      <c r="CL29" t="e">
        <f>AND(#REF!,"AAAAAHuTb1k=")</f>
        <v>#REF!</v>
      </c>
      <c r="CM29" t="e">
        <f>AND(#REF!,"AAAAAHuTb1o=")</f>
        <v>#REF!</v>
      </c>
      <c r="CN29" t="e">
        <f>IF(#REF!,"AAAAAHuTb1s=",0)</f>
        <v>#REF!</v>
      </c>
      <c r="CO29" t="e">
        <f>AND(#REF!,"AAAAAHuTb1w=")</f>
        <v>#REF!</v>
      </c>
      <c r="CP29" t="e">
        <f>AND(#REF!,"AAAAAHuTb10=")</f>
        <v>#REF!</v>
      </c>
      <c r="CQ29" t="e">
        <f>AND(#REF!,"AAAAAHuTb14=")</f>
        <v>#REF!</v>
      </c>
      <c r="CR29" t="e">
        <f>AND(#REF!,"AAAAAHuTb18=")</f>
        <v>#REF!</v>
      </c>
      <c r="CS29" t="e">
        <f>AND(#REF!,"AAAAAHuTb2A=")</f>
        <v>#REF!</v>
      </c>
      <c r="CT29" t="e">
        <f>AND(#REF!,"AAAAAHuTb2E=")</f>
        <v>#REF!</v>
      </c>
      <c r="CU29" t="e">
        <f>AND(#REF!,"AAAAAHuTb2I=")</f>
        <v>#REF!</v>
      </c>
      <c r="CV29" t="e">
        <f>AND(#REF!,"AAAAAHuTb2M=")</f>
        <v>#REF!</v>
      </c>
      <c r="CW29" t="e">
        <f>AND(#REF!,"AAAAAHuTb2Q=")</f>
        <v>#REF!</v>
      </c>
      <c r="CX29" t="e">
        <f>AND(#REF!,"AAAAAHuTb2U=")</f>
        <v>#REF!</v>
      </c>
      <c r="CY29" t="e">
        <f>AND(#REF!,"AAAAAHuTb2Y=")</f>
        <v>#REF!</v>
      </c>
      <c r="CZ29" t="e">
        <f>AND(#REF!,"AAAAAHuTb2c=")</f>
        <v>#REF!</v>
      </c>
      <c r="DA29" t="e">
        <f>AND(#REF!,"AAAAAHuTb2g=")</f>
        <v>#REF!</v>
      </c>
      <c r="DB29" t="e">
        <f>AND(#REF!,"AAAAAHuTb2k=")</f>
        <v>#REF!</v>
      </c>
      <c r="DC29" t="e">
        <f>AND(#REF!,"AAAAAHuTb2o=")</f>
        <v>#REF!</v>
      </c>
      <c r="DD29" t="e">
        <f>IF(#REF!,"AAAAAHuTb2s=",0)</f>
        <v>#REF!</v>
      </c>
      <c r="DE29" t="e">
        <f>AND(#REF!,"AAAAAHuTb2w=")</f>
        <v>#REF!</v>
      </c>
      <c r="DF29" t="e">
        <f>AND(#REF!,"AAAAAHuTb20=")</f>
        <v>#REF!</v>
      </c>
      <c r="DG29" t="e">
        <f>AND(#REF!,"AAAAAHuTb24=")</f>
        <v>#REF!</v>
      </c>
      <c r="DH29" t="e">
        <f>AND(#REF!,"AAAAAHuTb28=")</f>
        <v>#REF!</v>
      </c>
      <c r="DI29" t="e">
        <f>AND(#REF!,"AAAAAHuTb3A=")</f>
        <v>#REF!</v>
      </c>
      <c r="DJ29" t="e">
        <f>AND(#REF!,"AAAAAHuTb3E=")</f>
        <v>#REF!</v>
      </c>
      <c r="DK29" t="e">
        <f>AND(#REF!,"AAAAAHuTb3I=")</f>
        <v>#REF!</v>
      </c>
      <c r="DL29" t="e">
        <f>AND(#REF!,"AAAAAHuTb3M=")</f>
        <v>#REF!</v>
      </c>
      <c r="DM29" t="e">
        <f>AND(#REF!,"AAAAAHuTb3Q=")</f>
        <v>#REF!</v>
      </c>
      <c r="DN29" t="e">
        <f>AND(#REF!,"AAAAAHuTb3U=")</f>
        <v>#REF!</v>
      </c>
      <c r="DO29" t="e">
        <f>AND(#REF!,"AAAAAHuTb3Y=")</f>
        <v>#REF!</v>
      </c>
      <c r="DP29" t="e">
        <f>AND(#REF!,"AAAAAHuTb3c=")</f>
        <v>#REF!</v>
      </c>
      <c r="DQ29" t="e">
        <f>AND(#REF!,"AAAAAHuTb3g=")</f>
        <v>#REF!</v>
      </c>
      <c r="DR29" t="e">
        <f>AND(#REF!,"AAAAAHuTb3k=")</f>
        <v>#REF!</v>
      </c>
      <c r="DS29" t="e">
        <f>AND(#REF!,"AAAAAHuTb3o=")</f>
        <v>#REF!</v>
      </c>
      <c r="DT29" t="e">
        <f>IF(#REF!,"AAAAAHuTb3s=",0)</f>
        <v>#REF!</v>
      </c>
      <c r="DU29" t="e">
        <f>AND(#REF!,"AAAAAHuTb3w=")</f>
        <v>#REF!</v>
      </c>
      <c r="DV29" t="e">
        <f>AND(#REF!,"AAAAAHuTb30=")</f>
        <v>#REF!</v>
      </c>
      <c r="DW29" t="e">
        <f>AND(#REF!,"AAAAAHuTb34=")</f>
        <v>#REF!</v>
      </c>
      <c r="DX29" t="e">
        <f>AND(#REF!,"AAAAAHuTb38=")</f>
        <v>#REF!</v>
      </c>
      <c r="DY29" t="e">
        <f>AND(#REF!,"AAAAAHuTb4A=")</f>
        <v>#REF!</v>
      </c>
      <c r="DZ29" t="e">
        <f>AND(#REF!,"AAAAAHuTb4E=")</f>
        <v>#REF!</v>
      </c>
      <c r="EA29" t="e">
        <f>AND(#REF!,"AAAAAHuTb4I=")</f>
        <v>#REF!</v>
      </c>
      <c r="EB29" t="e">
        <f>AND(#REF!,"AAAAAHuTb4M=")</f>
        <v>#REF!</v>
      </c>
      <c r="EC29" t="e">
        <f>AND(#REF!,"AAAAAHuTb4Q=")</f>
        <v>#REF!</v>
      </c>
      <c r="ED29" t="e">
        <f>AND(#REF!,"AAAAAHuTb4U=")</f>
        <v>#REF!</v>
      </c>
      <c r="EE29" t="e">
        <f>AND(#REF!,"AAAAAHuTb4Y=")</f>
        <v>#REF!</v>
      </c>
      <c r="EF29" t="e">
        <f>AND(#REF!,"AAAAAHuTb4c=")</f>
        <v>#REF!</v>
      </c>
      <c r="EG29" t="e">
        <f>AND(#REF!,"AAAAAHuTb4g=")</f>
        <v>#REF!</v>
      </c>
      <c r="EH29" t="e">
        <f>AND(#REF!,"AAAAAHuTb4k=")</f>
        <v>#REF!</v>
      </c>
      <c r="EI29" t="e">
        <f>AND(#REF!,"AAAAAHuTb4o=")</f>
        <v>#REF!</v>
      </c>
      <c r="EJ29" t="e">
        <f>IF(#REF!,"AAAAAHuTb4s=",0)</f>
        <v>#REF!</v>
      </c>
      <c r="EK29" t="e">
        <f>AND(#REF!,"AAAAAHuTb4w=")</f>
        <v>#REF!</v>
      </c>
      <c r="EL29" t="e">
        <f>AND(#REF!,"AAAAAHuTb40=")</f>
        <v>#REF!</v>
      </c>
      <c r="EM29" t="e">
        <f>AND(#REF!,"AAAAAHuTb44=")</f>
        <v>#REF!</v>
      </c>
      <c r="EN29" t="e">
        <f>AND(#REF!,"AAAAAHuTb48=")</f>
        <v>#REF!</v>
      </c>
      <c r="EO29" t="e">
        <f>AND(#REF!,"AAAAAHuTb5A=")</f>
        <v>#REF!</v>
      </c>
      <c r="EP29" t="e">
        <f>AND(#REF!,"AAAAAHuTb5E=")</f>
        <v>#REF!</v>
      </c>
      <c r="EQ29" t="e">
        <f>AND(#REF!,"AAAAAHuTb5I=")</f>
        <v>#REF!</v>
      </c>
      <c r="ER29" t="e">
        <f>AND(#REF!,"AAAAAHuTb5M=")</f>
        <v>#REF!</v>
      </c>
      <c r="ES29" t="e">
        <f>AND(#REF!,"AAAAAHuTb5Q=")</f>
        <v>#REF!</v>
      </c>
      <c r="ET29" t="e">
        <f>AND(#REF!,"AAAAAHuTb5U=")</f>
        <v>#REF!</v>
      </c>
      <c r="EU29" t="e">
        <f>AND(#REF!,"AAAAAHuTb5Y=")</f>
        <v>#REF!</v>
      </c>
      <c r="EV29" t="e">
        <f>AND(#REF!,"AAAAAHuTb5c=")</f>
        <v>#REF!</v>
      </c>
      <c r="EW29" t="e">
        <f>AND(#REF!,"AAAAAHuTb5g=")</f>
        <v>#REF!</v>
      </c>
      <c r="EX29" t="e">
        <f>AND(#REF!,"AAAAAHuTb5k=")</f>
        <v>#REF!</v>
      </c>
      <c r="EY29" t="e">
        <f>AND(#REF!,"AAAAAHuTb5o=")</f>
        <v>#REF!</v>
      </c>
      <c r="EZ29" t="e">
        <f>IF(#REF!,"AAAAAHuTb5s=",0)</f>
        <v>#REF!</v>
      </c>
      <c r="FA29" t="e">
        <f>AND(#REF!,"AAAAAHuTb5w=")</f>
        <v>#REF!</v>
      </c>
      <c r="FB29" t="e">
        <f>AND(#REF!,"AAAAAHuTb50=")</f>
        <v>#REF!</v>
      </c>
      <c r="FC29" t="e">
        <f>AND(#REF!,"AAAAAHuTb54=")</f>
        <v>#REF!</v>
      </c>
      <c r="FD29" t="e">
        <f>AND(#REF!,"AAAAAHuTb58=")</f>
        <v>#REF!</v>
      </c>
      <c r="FE29" t="e">
        <f>AND(#REF!,"AAAAAHuTb6A=")</f>
        <v>#REF!</v>
      </c>
      <c r="FF29" t="e">
        <f>AND(#REF!,"AAAAAHuTb6E=")</f>
        <v>#REF!</v>
      </c>
      <c r="FG29" t="e">
        <f>AND(#REF!,"AAAAAHuTb6I=")</f>
        <v>#REF!</v>
      </c>
      <c r="FH29" t="e">
        <f>AND(#REF!,"AAAAAHuTb6M=")</f>
        <v>#REF!</v>
      </c>
      <c r="FI29" t="e">
        <f>AND(#REF!,"AAAAAHuTb6Q=")</f>
        <v>#REF!</v>
      </c>
      <c r="FJ29" t="e">
        <f>AND(#REF!,"AAAAAHuTb6U=")</f>
        <v>#REF!</v>
      </c>
      <c r="FK29" t="e">
        <f>AND(#REF!,"AAAAAHuTb6Y=")</f>
        <v>#REF!</v>
      </c>
      <c r="FL29" t="e">
        <f>AND(#REF!,"AAAAAHuTb6c=")</f>
        <v>#REF!</v>
      </c>
      <c r="FM29" t="e">
        <f>AND(#REF!,"AAAAAHuTb6g=")</f>
        <v>#REF!</v>
      </c>
      <c r="FN29" t="e">
        <f>AND(#REF!,"AAAAAHuTb6k=")</f>
        <v>#REF!</v>
      </c>
      <c r="FO29" t="e">
        <f>AND(#REF!,"AAAAAHuTb6o=")</f>
        <v>#REF!</v>
      </c>
      <c r="FP29" t="e">
        <f>IF(#REF!,"AAAAAHuTb6s=",0)</f>
        <v>#REF!</v>
      </c>
      <c r="FQ29" t="e">
        <f>AND(#REF!,"AAAAAHuTb6w=")</f>
        <v>#REF!</v>
      </c>
      <c r="FR29" t="e">
        <f>AND(#REF!,"AAAAAHuTb60=")</f>
        <v>#REF!</v>
      </c>
      <c r="FS29" t="e">
        <f>AND(#REF!,"AAAAAHuTb64=")</f>
        <v>#REF!</v>
      </c>
      <c r="FT29" t="e">
        <f>AND(#REF!,"AAAAAHuTb68=")</f>
        <v>#REF!</v>
      </c>
      <c r="FU29" t="e">
        <f>AND(#REF!,"AAAAAHuTb7A=")</f>
        <v>#REF!</v>
      </c>
      <c r="FV29" t="e">
        <f>AND(#REF!,"AAAAAHuTb7E=")</f>
        <v>#REF!</v>
      </c>
      <c r="FW29" t="e">
        <f>AND(#REF!,"AAAAAHuTb7I=")</f>
        <v>#REF!</v>
      </c>
      <c r="FX29" t="e">
        <f>AND(#REF!,"AAAAAHuTb7M=")</f>
        <v>#REF!</v>
      </c>
      <c r="FY29" t="e">
        <f>AND(#REF!,"AAAAAHuTb7Q=")</f>
        <v>#REF!</v>
      </c>
      <c r="FZ29" t="e">
        <f>AND(#REF!,"AAAAAHuTb7U=")</f>
        <v>#REF!</v>
      </c>
      <c r="GA29" t="e">
        <f>AND(#REF!,"AAAAAHuTb7Y=")</f>
        <v>#REF!</v>
      </c>
      <c r="GB29" t="e">
        <f>AND(#REF!,"AAAAAHuTb7c=")</f>
        <v>#REF!</v>
      </c>
      <c r="GC29" t="e">
        <f>AND(#REF!,"AAAAAHuTb7g=")</f>
        <v>#REF!</v>
      </c>
      <c r="GD29" t="e">
        <f>AND(#REF!,"AAAAAHuTb7k=")</f>
        <v>#REF!</v>
      </c>
      <c r="GE29" t="e">
        <f>AND(#REF!,"AAAAAHuTb7o=")</f>
        <v>#REF!</v>
      </c>
      <c r="GF29" t="e">
        <f>IF(#REF!,"AAAAAHuTb7s=",0)</f>
        <v>#REF!</v>
      </c>
      <c r="GG29" t="e">
        <f>AND(#REF!,"AAAAAHuTb7w=")</f>
        <v>#REF!</v>
      </c>
      <c r="GH29" t="e">
        <f>AND(#REF!,"AAAAAHuTb70=")</f>
        <v>#REF!</v>
      </c>
      <c r="GI29" t="e">
        <f>AND(#REF!,"AAAAAHuTb74=")</f>
        <v>#REF!</v>
      </c>
      <c r="GJ29" t="e">
        <f>AND(#REF!,"AAAAAHuTb78=")</f>
        <v>#REF!</v>
      </c>
      <c r="GK29" t="e">
        <f>AND(#REF!,"AAAAAHuTb8A=")</f>
        <v>#REF!</v>
      </c>
      <c r="GL29" t="e">
        <f>AND(#REF!,"AAAAAHuTb8E=")</f>
        <v>#REF!</v>
      </c>
      <c r="GM29" t="e">
        <f>AND(#REF!,"AAAAAHuTb8I=")</f>
        <v>#REF!</v>
      </c>
      <c r="GN29" t="e">
        <f>AND(#REF!,"AAAAAHuTb8M=")</f>
        <v>#REF!</v>
      </c>
      <c r="GO29" t="e">
        <f>AND(#REF!,"AAAAAHuTb8Q=")</f>
        <v>#REF!</v>
      </c>
      <c r="GP29" t="e">
        <f>AND(#REF!,"AAAAAHuTb8U=")</f>
        <v>#REF!</v>
      </c>
      <c r="GQ29" t="e">
        <f>AND(#REF!,"AAAAAHuTb8Y=")</f>
        <v>#REF!</v>
      </c>
      <c r="GR29" t="e">
        <f>AND(#REF!,"AAAAAHuTb8c=")</f>
        <v>#REF!</v>
      </c>
      <c r="GS29" t="e">
        <f>AND(#REF!,"AAAAAHuTb8g=")</f>
        <v>#REF!</v>
      </c>
      <c r="GT29" t="e">
        <f>AND(#REF!,"AAAAAHuTb8k=")</f>
        <v>#REF!</v>
      </c>
      <c r="GU29" t="e">
        <f>AND(#REF!,"AAAAAHuTb8o=")</f>
        <v>#REF!</v>
      </c>
      <c r="GV29" t="e">
        <f>IF(#REF!,"AAAAAHuTb8s=",0)</f>
        <v>#REF!</v>
      </c>
      <c r="GW29" t="e">
        <f>AND(#REF!,"AAAAAHuTb8w=")</f>
        <v>#REF!</v>
      </c>
      <c r="GX29" t="e">
        <f>AND(#REF!,"AAAAAHuTb80=")</f>
        <v>#REF!</v>
      </c>
      <c r="GY29" t="e">
        <f>AND(#REF!,"AAAAAHuTb84=")</f>
        <v>#REF!</v>
      </c>
      <c r="GZ29" t="e">
        <f>AND(#REF!,"AAAAAHuTb88=")</f>
        <v>#REF!</v>
      </c>
      <c r="HA29" t="e">
        <f>AND(#REF!,"AAAAAHuTb9A=")</f>
        <v>#REF!</v>
      </c>
      <c r="HB29" t="e">
        <f>AND(#REF!,"AAAAAHuTb9E=")</f>
        <v>#REF!</v>
      </c>
      <c r="HC29" t="e">
        <f>AND(#REF!,"AAAAAHuTb9I=")</f>
        <v>#REF!</v>
      </c>
      <c r="HD29" t="e">
        <f>AND(#REF!,"AAAAAHuTb9M=")</f>
        <v>#REF!</v>
      </c>
      <c r="HE29" t="e">
        <f>AND(#REF!,"AAAAAHuTb9Q=")</f>
        <v>#REF!</v>
      </c>
      <c r="HF29" t="e">
        <f>AND(#REF!,"AAAAAHuTb9U=")</f>
        <v>#REF!</v>
      </c>
      <c r="HG29" t="e">
        <f>AND(#REF!,"AAAAAHuTb9Y=")</f>
        <v>#REF!</v>
      </c>
      <c r="HH29" t="e">
        <f>AND(#REF!,"AAAAAHuTb9c=")</f>
        <v>#REF!</v>
      </c>
      <c r="HI29" t="e">
        <f>AND(#REF!,"AAAAAHuTb9g=")</f>
        <v>#REF!</v>
      </c>
      <c r="HJ29" t="e">
        <f>AND(#REF!,"AAAAAHuTb9k=")</f>
        <v>#REF!</v>
      </c>
      <c r="HK29" t="e">
        <f>AND(#REF!,"AAAAAHuTb9o=")</f>
        <v>#REF!</v>
      </c>
      <c r="HL29" t="e">
        <f>IF(#REF!,"AAAAAHuTb9s=",0)</f>
        <v>#REF!</v>
      </c>
      <c r="HM29" t="e">
        <f>AND(#REF!,"AAAAAHuTb9w=")</f>
        <v>#REF!</v>
      </c>
      <c r="HN29" t="e">
        <f>AND(#REF!,"AAAAAHuTb90=")</f>
        <v>#REF!</v>
      </c>
      <c r="HO29" t="e">
        <f>AND(#REF!,"AAAAAHuTb94=")</f>
        <v>#REF!</v>
      </c>
      <c r="HP29" t="e">
        <f>AND(#REF!,"AAAAAHuTb98=")</f>
        <v>#REF!</v>
      </c>
      <c r="HQ29" t="e">
        <f>AND(#REF!,"AAAAAHuTb+A=")</f>
        <v>#REF!</v>
      </c>
      <c r="HR29" t="e">
        <f>AND(#REF!,"AAAAAHuTb+E=")</f>
        <v>#REF!</v>
      </c>
      <c r="HS29" t="e">
        <f>AND(#REF!,"AAAAAHuTb+I=")</f>
        <v>#REF!</v>
      </c>
      <c r="HT29" t="e">
        <f>AND(#REF!,"AAAAAHuTb+M=")</f>
        <v>#REF!</v>
      </c>
      <c r="HU29" t="e">
        <f>AND(#REF!,"AAAAAHuTb+Q=")</f>
        <v>#REF!</v>
      </c>
      <c r="HV29" t="e">
        <f>AND(#REF!,"AAAAAHuTb+U=")</f>
        <v>#REF!</v>
      </c>
      <c r="HW29" t="e">
        <f>AND(#REF!,"AAAAAHuTb+Y=")</f>
        <v>#REF!</v>
      </c>
      <c r="HX29" t="e">
        <f>AND(#REF!,"AAAAAHuTb+c=")</f>
        <v>#REF!</v>
      </c>
      <c r="HY29" t="e">
        <f>AND(#REF!,"AAAAAHuTb+g=")</f>
        <v>#REF!</v>
      </c>
      <c r="HZ29" t="e">
        <f>AND(#REF!,"AAAAAHuTb+k=")</f>
        <v>#REF!</v>
      </c>
      <c r="IA29" t="e">
        <f>AND(#REF!,"AAAAAHuTb+o=")</f>
        <v>#REF!</v>
      </c>
      <c r="IB29" t="e">
        <f>IF(#REF!,"AAAAAHuTb+s=",0)</f>
        <v>#REF!</v>
      </c>
      <c r="IC29" t="e">
        <f>AND(#REF!,"AAAAAHuTb+w=")</f>
        <v>#REF!</v>
      </c>
      <c r="ID29" t="e">
        <f>AND(#REF!,"AAAAAHuTb+0=")</f>
        <v>#REF!</v>
      </c>
      <c r="IE29" t="e">
        <f>AND(#REF!,"AAAAAHuTb+4=")</f>
        <v>#REF!</v>
      </c>
      <c r="IF29" t="e">
        <f>AND(#REF!,"AAAAAHuTb+8=")</f>
        <v>#REF!</v>
      </c>
      <c r="IG29" t="e">
        <f>AND(#REF!,"AAAAAHuTb/A=")</f>
        <v>#REF!</v>
      </c>
      <c r="IH29" t="e">
        <f>AND(#REF!,"AAAAAHuTb/E=")</f>
        <v>#REF!</v>
      </c>
      <c r="II29" t="e">
        <f>AND(#REF!,"AAAAAHuTb/I=")</f>
        <v>#REF!</v>
      </c>
      <c r="IJ29" t="e">
        <f>AND(#REF!,"AAAAAHuTb/M=")</f>
        <v>#REF!</v>
      </c>
      <c r="IK29" t="e">
        <f>AND(#REF!,"AAAAAHuTb/Q=")</f>
        <v>#REF!</v>
      </c>
      <c r="IL29" t="e">
        <f>AND(#REF!,"AAAAAHuTb/U=")</f>
        <v>#REF!</v>
      </c>
      <c r="IM29" t="e">
        <f>AND(#REF!,"AAAAAHuTb/Y=")</f>
        <v>#REF!</v>
      </c>
      <c r="IN29" t="e">
        <f>AND(#REF!,"AAAAAHuTb/c=")</f>
        <v>#REF!</v>
      </c>
      <c r="IO29" t="e">
        <f>AND(#REF!,"AAAAAHuTb/g=")</f>
        <v>#REF!</v>
      </c>
      <c r="IP29" t="e">
        <f>AND(#REF!,"AAAAAHuTb/k=")</f>
        <v>#REF!</v>
      </c>
      <c r="IQ29" t="e">
        <f>AND(#REF!,"AAAAAHuTb/o=")</f>
        <v>#REF!</v>
      </c>
      <c r="IR29" t="e">
        <f>IF(#REF!,"AAAAAHuTb/s=",0)</f>
        <v>#REF!</v>
      </c>
      <c r="IS29" t="e">
        <f>AND(#REF!,"AAAAAHuTb/w=")</f>
        <v>#REF!</v>
      </c>
      <c r="IT29" t="e">
        <f>AND(#REF!,"AAAAAHuTb/0=")</f>
        <v>#REF!</v>
      </c>
      <c r="IU29" t="e">
        <f>AND(#REF!,"AAAAAHuTb/4=")</f>
        <v>#REF!</v>
      </c>
      <c r="IV29" t="e">
        <f>AND(#REF!,"AAAAAHuTb/8=")</f>
        <v>#REF!</v>
      </c>
    </row>
    <row r="30" spans="1:256">
      <c r="A30" t="e">
        <f>AND(#REF!,"AAAAAFLo7wA=")</f>
        <v>#REF!</v>
      </c>
      <c r="B30" t="e">
        <f>AND(#REF!,"AAAAAFLo7wE=")</f>
        <v>#REF!</v>
      </c>
      <c r="C30" t="e">
        <f>AND(#REF!,"AAAAAFLo7wI=")</f>
        <v>#REF!</v>
      </c>
      <c r="D30" t="e">
        <f>AND(#REF!,"AAAAAFLo7wM=")</f>
        <v>#REF!</v>
      </c>
      <c r="E30" t="e">
        <f>AND(#REF!,"AAAAAFLo7wQ=")</f>
        <v>#REF!</v>
      </c>
      <c r="F30" t="e">
        <f>AND(#REF!,"AAAAAFLo7wU=")</f>
        <v>#REF!</v>
      </c>
      <c r="G30" t="e">
        <f>AND(#REF!,"AAAAAFLo7wY=")</f>
        <v>#REF!</v>
      </c>
      <c r="H30" t="e">
        <f>AND(#REF!,"AAAAAFLo7wc=")</f>
        <v>#REF!</v>
      </c>
      <c r="I30" t="e">
        <f>AND(#REF!,"AAAAAFLo7wg=")</f>
        <v>#REF!</v>
      </c>
      <c r="J30" t="e">
        <f>AND(#REF!,"AAAAAFLo7wk=")</f>
        <v>#REF!</v>
      </c>
      <c r="K30" t="e">
        <f>AND(#REF!,"AAAAAFLo7wo=")</f>
        <v>#REF!</v>
      </c>
      <c r="L30" t="e">
        <f>IF(#REF!,"AAAAAFLo7ws=",0)</f>
        <v>#REF!</v>
      </c>
      <c r="M30" t="e">
        <f>AND(#REF!,"AAAAAFLo7ww=")</f>
        <v>#REF!</v>
      </c>
      <c r="N30" t="e">
        <f>AND(#REF!,"AAAAAFLo7w0=")</f>
        <v>#REF!</v>
      </c>
      <c r="O30" t="e">
        <f>AND(#REF!,"AAAAAFLo7w4=")</f>
        <v>#REF!</v>
      </c>
      <c r="P30" t="e">
        <f>AND(#REF!,"AAAAAFLo7w8=")</f>
        <v>#REF!</v>
      </c>
      <c r="Q30" t="e">
        <f>AND(#REF!,"AAAAAFLo7xA=")</f>
        <v>#REF!</v>
      </c>
      <c r="R30" t="e">
        <f>AND(#REF!,"AAAAAFLo7xE=")</f>
        <v>#REF!</v>
      </c>
      <c r="S30" t="e">
        <f>AND(#REF!,"AAAAAFLo7xI=")</f>
        <v>#REF!</v>
      </c>
      <c r="T30" t="e">
        <f>AND(#REF!,"AAAAAFLo7xM=")</f>
        <v>#REF!</v>
      </c>
      <c r="U30" t="e">
        <f>AND(#REF!,"AAAAAFLo7xQ=")</f>
        <v>#REF!</v>
      </c>
      <c r="V30" t="e">
        <f>AND(#REF!,"AAAAAFLo7xU=")</f>
        <v>#REF!</v>
      </c>
      <c r="W30" t="e">
        <f>AND(#REF!,"AAAAAFLo7xY=")</f>
        <v>#REF!</v>
      </c>
      <c r="X30" t="e">
        <f>AND(#REF!,"AAAAAFLo7xc=")</f>
        <v>#REF!</v>
      </c>
      <c r="Y30" t="e">
        <f>AND(#REF!,"AAAAAFLo7xg=")</f>
        <v>#REF!</v>
      </c>
      <c r="Z30" t="e">
        <f>AND(#REF!,"AAAAAFLo7xk=")</f>
        <v>#REF!</v>
      </c>
      <c r="AA30" t="e">
        <f>AND(#REF!,"AAAAAFLo7xo=")</f>
        <v>#REF!</v>
      </c>
      <c r="AB30" t="e">
        <f>IF(#REF!,"AAAAAFLo7xs=",0)</f>
        <v>#REF!</v>
      </c>
      <c r="AC30" t="e">
        <f>AND(#REF!,"AAAAAFLo7xw=")</f>
        <v>#REF!</v>
      </c>
      <c r="AD30" t="e">
        <f>AND(#REF!,"AAAAAFLo7x0=")</f>
        <v>#REF!</v>
      </c>
      <c r="AE30" t="e">
        <f>AND(#REF!,"AAAAAFLo7x4=")</f>
        <v>#REF!</v>
      </c>
      <c r="AF30" t="e">
        <f>AND(#REF!,"AAAAAFLo7x8=")</f>
        <v>#REF!</v>
      </c>
      <c r="AG30" t="e">
        <f>AND(#REF!,"AAAAAFLo7yA=")</f>
        <v>#REF!</v>
      </c>
      <c r="AH30" t="e">
        <f>AND(#REF!,"AAAAAFLo7yE=")</f>
        <v>#REF!</v>
      </c>
      <c r="AI30" t="e">
        <f>AND(#REF!,"AAAAAFLo7yI=")</f>
        <v>#REF!</v>
      </c>
      <c r="AJ30" t="e">
        <f>AND(#REF!,"AAAAAFLo7yM=")</f>
        <v>#REF!</v>
      </c>
      <c r="AK30" t="e">
        <f>AND(#REF!,"AAAAAFLo7yQ=")</f>
        <v>#REF!</v>
      </c>
      <c r="AL30" t="e">
        <f>AND(#REF!,"AAAAAFLo7yU=")</f>
        <v>#REF!</v>
      </c>
      <c r="AM30" t="e">
        <f>AND(#REF!,"AAAAAFLo7yY=")</f>
        <v>#REF!</v>
      </c>
      <c r="AN30" t="e">
        <f>AND(#REF!,"AAAAAFLo7yc=")</f>
        <v>#REF!</v>
      </c>
      <c r="AO30" t="e">
        <f>AND(#REF!,"AAAAAFLo7yg=")</f>
        <v>#REF!</v>
      </c>
      <c r="AP30" t="e">
        <f>AND(#REF!,"AAAAAFLo7yk=")</f>
        <v>#REF!</v>
      </c>
      <c r="AQ30" t="e">
        <f>AND(#REF!,"AAAAAFLo7yo=")</f>
        <v>#REF!</v>
      </c>
      <c r="AR30" t="e">
        <f>IF(#REF!,"AAAAAFLo7ys=",0)</f>
        <v>#REF!</v>
      </c>
      <c r="AS30" t="e">
        <f>AND(#REF!,"AAAAAFLo7yw=")</f>
        <v>#REF!</v>
      </c>
      <c r="AT30" t="e">
        <f>AND(#REF!,"AAAAAFLo7y0=")</f>
        <v>#REF!</v>
      </c>
      <c r="AU30" t="e">
        <f>AND(#REF!,"AAAAAFLo7y4=")</f>
        <v>#REF!</v>
      </c>
      <c r="AV30" t="e">
        <f>AND(#REF!,"AAAAAFLo7y8=")</f>
        <v>#REF!</v>
      </c>
      <c r="AW30" t="e">
        <f>AND(#REF!,"AAAAAFLo7zA=")</f>
        <v>#REF!</v>
      </c>
      <c r="AX30" t="e">
        <f>AND(#REF!,"AAAAAFLo7zE=")</f>
        <v>#REF!</v>
      </c>
      <c r="AY30" t="e">
        <f>AND(#REF!,"AAAAAFLo7zI=")</f>
        <v>#REF!</v>
      </c>
      <c r="AZ30" t="e">
        <f>AND(#REF!,"AAAAAFLo7zM=")</f>
        <v>#REF!</v>
      </c>
      <c r="BA30" t="e">
        <f>AND(#REF!,"AAAAAFLo7zQ=")</f>
        <v>#REF!</v>
      </c>
      <c r="BB30" t="e">
        <f>AND(#REF!,"AAAAAFLo7zU=")</f>
        <v>#REF!</v>
      </c>
      <c r="BC30" t="e">
        <f>AND(#REF!,"AAAAAFLo7zY=")</f>
        <v>#REF!</v>
      </c>
      <c r="BD30" t="e">
        <f>AND(#REF!,"AAAAAFLo7zc=")</f>
        <v>#REF!</v>
      </c>
      <c r="BE30" t="e">
        <f>AND(#REF!,"AAAAAFLo7zg=")</f>
        <v>#REF!</v>
      </c>
      <c r="BF30" t="e">
        <f>AND(#REF!,"AAAAAFLo7zk=")</f>
        <v>#REF!</v>
      </c>
      <c r="BG30" t="e">
        <f>AND(#REF!,"AAAAAFLo7zo=")</f>
        <v>#REF!</v>
      </c>
      <c r="BH30" t="e">
        <f>IF(#REF!,"AAAAAFLo7zs=",0)</f>
        <v>#REF!</v>
      </c>
      <c r="BI30" t="e">
        <f>AND(#REF!,"AAAAAFLo7zw=")</f>
        <v>#REF!</v>
      </c>
      <c r="BJ30" t="e">
        <f>AND(#REF!,"AAAAAFLo7z0=")</f>
        <v>#REF!</v>
      </c>
      <c r="BK30" t="e">
        <f>AND(#REF!,"AAAAAFLo7z4=")</f>
        <v>#REF!</v>
      </c>
      <c r="BL30" t="e">
        <f>AND(#REF!,"AAAAAFLo7z8=")</f>
        <v>#REF!</v>
      </c>
      <c r="BM30" t="e">
        <f>AND(#REF!,"AAAAAFLo70A=")</f>
        <v>#REF!</v>
      </c>
      <c r="BN30" t="e">
        <f>AND(#REF!,"AAAAAFLo70E=")</f>
        <v>#REF!</v>
      </c>
      <c r="BO30" t="e">
        <f>AND(#REF!,"AAAAAFLo70I=")</f>
        <v>#REF!</v>
      </c>
      <c r="BP30" t="e">
        <f>AND(#REF!,"AAAAAFLo70M=")</f>
        <v>#REF!</v>
      </c>
      <c r="BQ30" t="e">
        <f>AND(#REF!,"AAAAAFLo70Q=")</f>
        <v>#REF!</v>
      </c>
      <c r="BR30" t="e">
        <f>AND(#REF!,"AAAAAFLo70U=")</f>
        <v>#REF!</v>
      </c>
      <c r="BS30" t="e">
        <f>AND(#REF!,"AAAAAFLo70Y=")</f>
        <v>#REF!</v>
      </c>
      <c r="BT30" t="e">
        <f>AND(#REF!,"AAAAAFLo70c=")</f>
        <v>#REF!</v>
      </c>
      <c r="BU30" t="e">
        <f>AND(#REF!,"AAAAAFLo70g=")</f>
        <v>#REF!</v>
      </c>
      <c r="BV30" t="e">
        <f>AND(#REF!,"AAAAAFLo70k=")</f>
        <v>#REF!</v>
      </c>
      <c r="BW30" t="e">
        <f>AND(#REF!,"AAAAAFLo70o=")</f>
        <v>#REF!</v>
      </c>
      <c r="BX30" t="e">
        <f>IF(#REF!,"AAAAAFLo70s=",0)</f>
        <v>#REF!</v>
      </c>
      <c r="BY30" t="e">
        <f>AND(#REF!,"AAAAAFLo70w=")</f>
        <v>#REF!</v>
      </c>
      <c r="BZ30" t="e">
        <f>AND(#REF!,"AAAAAFLo700=")</f>
        <v>#REF!</v>
      </c>
      <c r="CA30" t="e">
        <f>AND(#REF!,"AAAAAFLo704=")</f>
        <v>#REF!</v>
      </c>
      <c r="CB30" t="e">
        <f>AND(#REF!,"AAAAAFLo708=")</f>
        <v>#REF!</v>
      </c>
      <c r="CC30" t="e">
        <f>AND(#REF!,"AAAAAFLo71A=")</f>
        <v>#REF!</v>
      </c>
      <c r="CD30" t="e">
        <f>AND(#REF!,"AAAAAFLo71E=")</f>
        <v>#REF!</v>
      </c>
      <c r="CE30" t="e">
        <f>AND(#REF!,"AAAAAFLo71I=")</f>
        <v>#REF!</v>
      </c>
      <c r="CF30" t="e">
        <f>AND(#REF!,"AAAAAFLo71M=")</f>
        <v>#REF!</v>
      </c>
      <c r="CG30" t="e">
        <f>AND(#REF!,"AAAAAFLo71Q=")</f>
        <v>#REF!</v>
      </c>
      <c r="CH30" t="e">
        <f>AND(#REF!,"AAAAAFLo71U=")</f>
        <v>#REF!</v>
      </c>
      <c r="CI30" t="e">
        <f>AND(#REF!,"AAAAAFLo71Y=")</f>
        <v>#REF!</v>
      </c>
      <c r="CJ30" t="e">
        <f>AND(#REF!,"AAAAAFLo71c=")</f>
        <v>#REF!</v>
      </c>
      <c r="CK30" t="e">
        <f>AND(#REF!,"AAAAAFLo71g=")</f>
        <v>#REF!</v>
      </c>
      <c r="CL30" t="e">
        <f>AND(#REF!,"AAAAAFLo71k=")</f>
        <v>#REF!</v>
      </c>
      <c r="CM30" t="e">
        <f>AND(#REF!,"AAAAAFLo71o=")</f>
        <v>#REF!</v>
      </c>
      <c r="CN30" t="e">
        <f>IF(#REF!,"AAAAAFLo71s=",0)</f>
        <v>#REF!</v>
      </c>
      <c r="CO30" t="e">
        <f>AND(#REF!,"AAAAAFLo71w=")</f>
        <v>#REF!</v>
      </c>
      <c r="CP30" t="e">
        <f>AND(#REF!,"AAAAAFLo710=")</f>
        <v>#REF!</v>
      </c>
      <c r="CQ30" t="e">
        <f>AND(#REF!,"AAAAAFLo714=")</f>
        <v>#REF!</v>
      </c>
      <c r="CR30" t="e">
        <f>AND(#REF!,"AAAAAFLo718=")</f>
        <v>#REF!</v>
      </c>
      <c r="CS30" t="e">
        <f>AND(#REF!,"AAAAAFLo72A=")</f>
        <v>#REF!</v>
      </c>
      <c r="CT30" t="e">
        <f>AND(#REF!,"AAAAAFLo72E=")</f>
        <v>#REF!</v>
      </c>
      <c r="CU30" t="e">
        <f>AND(#REF!,"AAAAAFLo72I=")</f>
        <v>#REF!</v>
      </c>
      <c r="CV30" t="e">
        <f>AND(#REF!,"AAAAAFLo72M=")</f>
        <v>#REF!</v>
      </c>
      <c r="CW30" t="e">
        <f>AND(#REF!,"AAAAAFLo72Q=")</f>
        <v>#REF!</v>
      </c>
      <c r="CX30" t="e">
        <f>AND(#REF!,"AAAAAFLo72U=")</f>
        <v>#REF!</v>
      </c>
      <c r="CY30" t="e">
        <f>AND(#REF!,"AAAAAFLo72Y=")</f>
        <v>#REF!</v>
      </c>
      <c r="CZ30" t="e">
        <f>AND(#REF!,"AAAAAFLo72c=")</f>
        <v>#REF!</v>
      </c>
      <c r="DA30" t="e">
        <f>AND(#REF!,"AAAAAFLo72g=")</f>
        <v>#REF!</v>
      </c>
      <c r="DB30" t="e">
        <f>AND(#REF!,"AAAAAFLo72k=")</f>
        <v>#REF!</v>
      </c>
      <c r="DC30" t="e">
        <f>AND(#REF!,"AAAAAFLo72o=")</f>
        <v>#REF!</v>
      </c>
      <c r="DD30" t="e">
        <f>IF(#REF!,"AAAAAFLo72s=",0)</f>
        <v>#REF!</v>
      </c>
      <c r="DE30" t="e">
        <f>AND(#REF!,"AAAAAFLo72w=")</f>
        <v>#REF!</v>
      </c>
      <c r="DF30" t="e">
        <f>AND(#REF!,"AAAAAFLo720=")</f>
        <v>#REF!</v>
      </c>
      <c r="DG30" t="e">
        <f>AND(#REF!,"AAAAAFLo724=")</f>
        <v>#REF!</v>
      </c>
      <c r="DH30" t="e">
        <f>AND(#REF!,"AAAAAFLo728=")</f>
        <v>#REF!</v>
      </c>
      <c r="DI30" t="e">
        <f>AND(#REF!,"AAAAAFLo73A=")</f>
        <v>#REF!</v>
      </c>
      <c r="DJ30" t="e">
        <f>AND(#REF!,"AAAAAFLo73E=")</f>
        <v>#REF!</v>
      </c>
      <c r="DK30" t="e">
        <f>AND(#REF!,"AAAAAFLo73I=")</f>
        <v>#REF!</v>
      </c>
      <c r="DL30" t="e">
        <f>AND(#REF!,"AAAAAFLo73M=")</f>
        <v>#REF!</v>
      </c>
      <c r="DM30" t="e">
        <f>AND(#REF!,"AAAAAFLo73Q=")</f>
        <v>#REF!</v>
      </c>
      <c r="DN30" t="e">
        <f>AND(#REF!,"AAAAAFLo73U=")</f>
        <v>#REF!</v>
      </c>
      <c r="DO30" t="e">
        <f>AND(#REF!,"AAAAAFLo73Y=")</f>
        <v>#REF!</v>
      </c>
      <c r="DP30" t="e">
        <f>AND(#REF!,"AAAAAFLo73c=")</f>
        <v>#REF!</v>
      </c>
      <c r="DQ30" t="e">
        <f>AND(#REF!,"AAAAAFLo73g=")</f>
        <v>#REF!</v>
      </c>
      <c r="DR30" t="e">
        <f>AND(#REF!,"AAAAAFLo73k=")</f>
        <v>#REF!</v>
      </c>
      <c r="DS30" t="e">
        <f>AND(#REF!,"AAAAAFLo73o=")</f>
        <v>#REF!</v>
      </c>
      <c r="DT30" t="e">
        <f>IF(#REF!,"AAAAAFLo73s=",0)</f>
        <v>#REF!</v>
      </c>
      <c r="DU30" t="e">
        <f>AND(#REF!,"AAAAAFLo73w=")</f>
        <v>#REF!</v>
      </c>
      <c r="DV30" t="e">
        <f>AND(#REF!,"AAAAAFLo730=")</f>
        <v>#REF!</v>
      </c>
      <c r="DW30" t="e">
        <f>AND(#REF!,"AAAAAFLo734=")</f>
        <v>#REF!</v>
      </c>
      <c r="DX30" t="e">
        <f>AND(#REF!,"AAAAAFLo738=")</f>
        <v>#REF!</v>
      </c>
      <c r="DY30" t="e">
        <f>AND(#REF!,"AAAAAFLo74A=")</f>
        <v>#REF!</v>
      </c>
      <c r="DZ30" t="e">
        <f>AND(#REF!,"AAAAAFLo74E=")</f>
        <v>#REF!</v>
      </c>
      <c r="EA30" t="e">
        <f>AND(#REF!,"AAAAAFLo74I=")</f>
        <v>#REF!</v>
      </c>
      <c r="EB30" t="e">
        <f>AND(#REF!,"AAAAAFLo74M=")</f>
        <v>#REF!</v>
      </c>
      <c r="EC30" t="e">
        <f>AND(#REF!,"AAAAAFLo74Q=")</f>
        <v>#REF!</v>
      </c>
      <c r="ED30" t="e">
        <f>AND(#REF!,"AAAAAFLo74U=")</f>
        <v>#REF!</v>
      </c>
      <c r="EE30" t="e">
        <f>AND(#REF!,"AAAAAFLo74Y=")</f>
        <v>#REF!</v>
      </c>
      <c r="EF30" t="e">
        <f>AND(#REF!,"AAAAAFLo74c=")</f>
        <v>#REF!</v>
      </c>
      <c r="EG30" t="e">
        <f>AND(#REF!,"AAAAAFLo74g=")</f>
        <v>#REF!</v>
      </c>
      <c r="EH30" t="e">
        <f>AND(#REF!,"AAAAAFLo74k=")</f>
        <v>#REF!</v>
      </c>
      <c r="EI30" t="e">
        <f>AND(#REF!,"AAAAAFLo74o=")</f>
        <v>#REF!</v>
      </c>
      <c r="EJ30" t="e">
        <f>IF(#REF!,"AAAAAFLo74s=",0)</f>
        <v>#REF!</v>
      </c>
      <c r="EK30" t="e">
        <f>AND(#REF!,"AAAAAFLo74w=")</f>
        <v>#REF!</v>
      </c>
      <c r="EL30" t="e">
        <f>AND(#REF!,"AAAAAFLo740=")</f>
        <v>#REF!</v>
      </c>
      <c r="EM30" t="e">
        <f>AND(#REF!,"AAAAAFLo744=")</f>
        <v>#REF!</v>
      </c>
      <c r="EN30" t="e">
        <f>AND(#REF!,"AAAAAFLo748=")</f>
        <v>#REF!</v>
      </c>
      <c r="EO30" t="e">
        <f>AND(#REF!,"AAAAAFLo75A=")</f>
        <v>#REF!</v>
      </c>
      <c r="EP30" t="e">
        <f>AND(#REF!,"AAAAAFLo75E=")</f>
        <v>#REF!</v>
      </c>
      <c r="EQ30" t="e">
        <f>AND(#REF!,"AAAAAFLo75I=")</f>
        <v>#REF!</v>
      </c>
      <c r="ER30" t="e">
        <f>AND(#REF!,"AAAAAFLo75M=")</f>
        <v>#REF!</v>
      </c>
      <c r="ES30" t="e">
        <f>AND(#REF!,"AAAAAFLo75Q=")</f>
        <v>#REF!</v>
      </c>
      <c r="ET30" t="e">
        <f>AND(#REF!,"AAAAAFLo75U=")</f>
        <v>#REF!</v>
      </c>
      <c r="EU30" t="e">
        <f>AND(#REF!,"AAAAAFLo75Y=")</f>
        <v>#REF!</v>
      </c>
      <c r="EV30" t="e">
        <f>AND(#REF!,"AAAAAFLo75c=")</f>
        <v>#REF!</v>
      </c>
      <c r="EW30" t="e">
        <f>AND(#REF!,"AAAAAFLo75g=")</f>
        <v>#REF!</v>
      </c>
      <c r="EX30" t="e">
        <f>AND(#REF!,"AAAAAFLo75k=")</f>
        <v>#REF!</v>
      </c>
      <c r="EY30" t="e">
        <f>AND(#REF!,"AAAAAFLo75o=")</f>
        <v>#REF!</v>
      </c>
      <c r="EZ30" t="e">
        <f>IF(#REF!,"AAAAAFLo75s=",0)</f>
        <v>#REF!</v>
      </c>
      <c r="FA30" t="e">
        <f>AND(#REF!,"AAAAAFLo75w=")</f>
        <v>#REF!</v>
      </c>
      <c r="FB30" t="e">
        <f>AND(#REF!,"AAAAAFLo750=")</f>
        <v>#REF!</v>
      </c>
      <c r="FC30" t="e">
        <f>AND(#REF!,"AAAAAFLo754=")</f>
        <v>#REF!</v>
      </c>
      <c r="FD30" t="e">
        <f>AND(#REF!,"AAAAAFLo758=")</f>
        <v>#REF!</v>
      </c>
      <c r="FE30" t="e">
        <f>AND(#REF!,"AAAAAFLo76A=")</f>
        <v>#REF!</v>
      </c>
      <c r="FF30" t="e">
        <f>AND(#REF!,"AAAAAFLo76E=")</f>
        <v>#REF!</v>
      </c>
      <c r="FG30" t="e">
        <f>AND(#REF!,"AAAAAFLo76I=")</f>
        <v>#REF!</v>
      </c>
      <c r="FH30" t="e">
        <f>AND(#REF!,"AAAAAFLo76M=")</f>
        <v>#REF!</v>
      </c>
      <c r="FI30" t="e">
        <f>AND(#REF!,"AAAAAFLo76Q=")</f>
        <v>#REF!</v>
      </c>
      <c r="FJ30" t="e">
        <f>AND(#REF!,"AAAAAFLo76U=")</f>
        <v>#REF!</v>
      </c>
      <c r="FK30" t="e">
        <f>AND(#REF!,"AAAAAFLo76Y=")</f>
        <v>#REF!</v>
      </c>
      <c r="FL30" t="e">
        <f>AND(#REF!,"AAAAAFLo76c=")</f>
        <v>#REF!</v>
      </c>
      <c r="FM30" t="e">
        <f>AND(#REF!,"AAAAAFLo76g=")</f>
        <v>#REF!</v>
      </c>
      <c r="FN30" t="e">
        <f>AND(#REF!,"AAAAAFLo76k=")</f>
        <v>#REF!</v>
      </c>
      <c r="FO30" t="e">
        <f>AND(#REF!,"AAAAAFLo76o=")</f>
        <v>#REF!</v>
      </c>
      <c r="FP30" t="e">
        <f>IF(#REF!,"AAAAAFLo76s=",0)</f>
        <v>#REF!</v>
      </c>
      <c r="FQ30" t="e">
        <f>AND(#REF!,"AAAAAFLo76w=")</f>
        <v>#REF!</v>
      </c>
      <c r="FR30" t="e">
        <f>AND(#REF!,"AAAAAFLo760=")</f>
        <v>#REF!</v>
      </c>
      <c r="FS30" t="e">
        <f>AND(#REF!,"AAAAAFLo764=")</f>
        <v>#REF!</v>
      </c>
      <c r="FT30" t="e">
        <f>AND(#REF!,"AAAAAFLo768=")</f>
        <v>#REF!</v>
      </c>
      <c r="FU30" t="e">
        <f>AND(#REF!,"AAAAAFLo77A=")</f>
        <v>#REF!</v>
      </c>
      <c r="FV30" t="e">
        <f>AND(#REF!,"AAAAAFLo77E=")</f>
        <v>#REF!</v>
      </c>
      <c r="FW30" t="e">
        <f>AND(#REF!,"AAAAAFLo77I=")</f>
        <v>#REF!</v>
      </c>
      <c r="FX30" t="e">
        <f>AND(#REF!,"AAAAAFLo77M=")</f>
        <v>#REF!</v>
      </c>
      <c r="FY30" t="e">
        <f>AND(#REF!,"AAAAAFLo77Q=")</f>
        <v>#REF!</v>
      </c>
      <c r="FZ30" t="e">
        <f>AND(#REF!,"AAAAAFLo77U=")</f>
        <v>#REF!</v>
      </c>
      <c r="GA30" t="e">
        <f>AND(#REF!,"AAAAAFLo77Y=")</f>
        <v>#REF!</v>
      </c>
      <c r="GB30" t="e">
        <f>AND(#REF!,"AAAAAFLo77c=")</f>
        <v>#REF!</v>
      </c>
      <c r="GC30" t="e">
        <f>AND(#REF!,"AAAAAFLo77g=")</f>
        <v>#REF!</v>
      </c>
      <c r="GD30" t="e">
        <f>AND(#REF!,"AAAAAFLo77k=")</f>
        <v>#REF!</v>
      </c>
      <c r="GE30" t="e">
        <f>AND(#REF!,"AAAAAFLo77o=")</f>
        <v>#REF!</v>
      </c>
      <c r="GF30" t="e">
        <f>IF(#REF!,"AAAAAFLo77s=",0)</f>
        <v>#REF!</v>
      </c>
      <c r="GG30" t="e">
        <f>AND(#REF!,"AAAAAFLo77w=")</f>
        <v>#REF!</v>
      </c>
      <c r="GH30" t="e">
        <f>AND(#REF!,"AAAAAFLo770=")</f>
        <v>#REF!</v>
      </c>
      <c r="GI30" t="e">
        <f>AND(#REF!,"AAAAAFLo774=")</f>
        <v>#REF!</v>
      </c>
      <c r="GJ30" t="e">
        <f>AND(#REF!,"AAAAAFLo778=")</f>
        <v>#REF!</v>
      </c>
      <c r="GK30" t="e">
        <f>AND(#REF!,"AAAAAFLo78A=")</f>
        <v>#REF!</v>
      </c>
      <c r="GL30" t="e">
        <f>AND(#REF!,"AAAAAFLo78E=")</f>
        <v>#REF!</v>
      </c>
      <c r="GM30" t="e">
        <f>AND(#REF!,"AAAAAFLo78I=")</f>
        <v>#REF!</v>
      </c>
      <c r="GN30" t="e">
        <f>AND(#REF!,"AAAAAFLo78M=")</f>
        <v>#REF!</v>
      </c>
      <c r="GO30" t="e">
        <f>AND(#REF!,"AAAAAFLo78Q=")</f>
        <v>#REF!</v>
      </c>
      <c r="GP30" t="e">
        <f>AND(#REF!,"AAAAAFLo78U=")</f>
        <v>#REF!</v>
      </c>
      <c r="GQ30" t="e">
        <f>AND(#REF!,"AAAAAFLo78Y=")</f>
        <v>#REF!</v>
      </c>
      <c r="GR30" t="e">
        <f>AND(#REF!,"AAAAAFLo78c=")</f>
        <v>#REF!</v>
      </c>
      <c r="GS30" t="e">
        <f>AND(#REF!,"AAAAAFLo78g=")</f>
        <v>#REF!</v>
      </c>
      <c r="GT30" t="e">
        <f>AND(#REF!,"AAAAAFLo78k=")</f>
        <v>#REF!</v>
      </c>
      <c r="GU30" t="e">
        <f>AND(#REF!,"AAAAAFLo78o=")</f>
        <v>#REF!</v>
      </c>
      <c r="GV30" t="e">
        <f>IF(#REF!,"AAAAAFLo78s=",0)</f>
        <v>#REF!</v>
      </c>
      <c r="GW30" t="e">
        <f>AND(#REF!,"AAAAAFLo78w=")</f>
        <v>#REF!</v>
      </c>
      <c r="GX30" t="e">
        <f>AND(#REF!,"AAAAAFLo780=")</f>
        <v>#REF!</v>
      </c>
      <c r="GY30" t="e">
        <f>AND(#REF!,"AAAAAFLo784=")</f>
        <v>#REF!</v>
      </c>
      <c r="GZ30" t="e">
        <f>AND(#REF!,"AAAAAFLo788=")</f>
        <v>#REF!</v>
      </c>
      <c r="HA30" t="e">
        <f>AND(#REF!,"AAAAAFLo79A=")</f>
        <v>#REF!</v>
      </c>
      <c r="HB30" t="e">
        <f>AND(#REF!,"AAAAAFLo79E=")</f>
        <v>#REF!</v>
      </c>
      <c r="HC30" t="e">
        <f>AND(#REF!,"AAAAAFLo79I=")</f>
        <v>#REF!</v>
      </c>
      <c r="HD30" t="e">
        <f>AND(#REF!,"AAAAAFLo79M=")</f>
        <v>#REF!</v>
      </c>
      <c r="HE30" t="e">
        <f>AND(#REF!,"AAAAAFLo79Q=")</f>
        <v>#REF!</v>
      </c>
      <c r="HF30" t="e">
        <f>AND(#REF!,"AAAAAFLo79U=")</f>
        <v>#REF!</v>
      </c>
      <c r="HG30" t="e">
        <f>AND(#REF!,"AAAAAFLo79Y=")</f>
        <v>#REF!</v>
      </c>
      <c r="HH30" t="e">
        <f>AND(#REF!,"AAAAAFLo79c=")</f>
        <v>#REF!</v>
      </c>
      <c r="HI30" t="e">
        <f>AND(#REF!,"AAAAAFLo79g=")</f>
        <v>#REF!</v>
      </c>
      <c r="HJ30" t="e">
        <f>AND(#REF!,"AAAAAFLo79k=")</f>
        <v>#REF!</v>
      </c>
      <c r="HK30" t="e">
        <f>AND(#REF!,"AAAAAFLo79o=")</f>
        <v>#REF!</v>
      </c>
      <c r="HL30" t="e">
        <f>IF(#REF!,"AAAAAFLo79s=",0)</f>
        <v>#REF!</v>
      </c>
      <c r="HM30" t="e">
        <f>AND(#REF!,"AAAAAFLo79w=")</f>
        <v>#REF!</v>
      </c>
      <c r="HN30" t="e">
        <f>AND(#REF!,"AAAAAFLo790=")</f>
        <v>#REF!</v>
      </c>
      <c r="HO30" t="e">
        <f>AND(#REF!,"AAAAAFLo794=")</f>
        <v>#REF!</v>
      </c>
      <c r="HP30" t="e">
        <f>AND(#REF!,"AAAAAFLo798=")</f>
        <v>#REF!</v>
      </c>
      <c r="HQ30" t="e">
        <f>AND(#REF!,"AAAAAFLo7+A=")</f>
        <v>#REF!</v>
      </c>
      <c r="HR30" t="e">
        <f>AND(#REF!,"AAAAAFLo7+E=")</f>
        <v>#REF!</v>
      </c>
      <c r="HS30" t="e">
        <f>AND(#REF!,"AAAAAFLo7+I=")</f>
        <v>#REF!</v>
      </c>
      <c r="HT30" t="e">
        <f>AND(#REF!,"AAAAAFLo7+M=")</f>
        <v>#REF!</v>
      </c>
      <c r="HU30" t="e">
        <f>AND(#REF!,"AAAAAFLo7+Q=")</f>
        <v>#REF!</v>
      </c>
      <c r="HV30" t="e">
        <f>AND(#REF!,"AAAAAFLo7+U=")</f>
        <v>#REF!</v>
      </c>
      <c r="HW30" t="e">
        <f>AND(#REF!,"AAAAAFLo7+Y=")</f>
        <v>#REF!</v>
      </c>
      <c r="HX30" t="e">
        <f>AND(#REF!,"AAAAAFLo7+c=")</f>
        <v>#REF!</v>
      </c>
      <c r="HY30" t="e">
        <f>AND(#REF!,"AAAAAFLo7+g=")</f>
        <v>#REF!</v>
      </c>
      <c r="HZ30" t="e">
        <f>AND(#REF!,"AAAAAFLo7+k=")</f>
        <v>#REF!</v>
      </c>
      <c r="IA30" t="e">
        <f>AND(#REF!,"AAAAAFLo7+o=")</f>
        <v>#REF!</v>
      </c>
      <c r="IB30" t="e">
        <f>IF(#REF!,"AAAAAFLo7+s=",0)</f>
        <v>#REF!</v>
      </c>
      <c r="IC30" t="e">
        <f>AND(#REF!,"AAAAAFLo7+w=")</f>
        <v>#REF!</v>
      </c>
      <c r="ID30" t="e">
        <f>AND(#REF!,"AAAAAFLo7+0=")</f>
        <v>#REF!</v>
      </c>
      <c r="IE30" t="e">
        <f>AND(#REF!,"AAAAAFLo7+4=")</f>
        <v>#REF!</v>
      </c>
      <c r="IF30" t="e">
        <f>AND(#REF!,"AAAAAFLo7+8=")</f>
        <v>#REF!</v>
      </c>
      <c r="IG30" t="e">
        <f>AND(#REF!,"AAAAAFLo7/A=")</f>
        <v>#REF!</v>
      </c>
      <c r="IH30" t="e">
        <f>AND(#REF!,"AAAAAFLo7/E=")</f>
        <v>#REF!</v>
      </c>
      <c r="II30" t="e">
        <f>AND(#REF!,"AAAAAFLo7/I=")</f>
        <v>#REF!</v>
      </c>
      <c r="IJ30" t="e">
        <f>AND(#REF!,"AAAAAFLo7/M=")</f>
        <v>#REF!</v>
      </c>
      <c r="IK30" t="e">
        <f>AND(#REF!,"AAAAAFLo7/Q=")</f>
        <v>#REF!</v>
      </c>
      <c r="IL30" t="e">
        <f>AND(#REF!,"AAAAAFLo7/U=")</f>
        <v>#REF!</v>
      </c>
      <c r="IM30" t="e">
        <f>AND(#REF!,"AAAAAFLo7/Y=")</f>
        <v>#REF!</v>
      </c>
      <c r="IN30" t="e">
        <f>AND(#REF!,"AAAAAFLo7/c=")</f>
        <v>#REF!</v>
      </c>
      <c r="IO30" t="e">
        <f>AND(#REF!,"AAAAAFLo7/g=")</f>
        <v>#REF!</v>
      </c>
      <c r="IP30" t="e">
        <f>AND(#REF!,"AAAAAFLo7/k=")</f>
        <v>#REF!</v>
      </c>
      <c r="IQ30" t="e">
        <f>AND(#REF!,"AAAAAFLo7/o=")</f>
        <v>#REF!</v>
      </c>
      <c r="IR30" t="e">
        <f>IF(#REF!,"AAAAAFLo7/s=",0)</f>
        <v>#REF!</v>
      </c>
      <c r="IS30" t="e">
        <f>AND(#REF!,"AAAAAFLo7/w=")</f>
        <v>#REF!</v>
      </c>
      <c r="IT30" t="e">
        <f>AND(#REF!,"AAAAAFLo7/0=")</f>
        <v>#REF!</v>
      </c>
      <c r="IU30" t="e">
        <f>AND(#REF!,"AAAAAFLo7/4=")</f>
        <v>#REF!</v>
      </c>
      <c r="IV30" t="e">
        <f>AND(#REF!,"AAAAAFLo7/8=")</f>
        <v>#REF!</v>
      </c>
    </row>
    <row r="31" spans="1:256">
      <c r="A31" t="e">
        <f>AND(#REF!,"AAAAAD+/vgA=")</f>
        <v>#REF!</v>
      </c>
      <c r="B31" t="e">
        <f>AND(#REF!,"AAAAAD+/vgE=")</f>
        <v>#REF!</v>
      </c>
      <c r="C31" t="e">
        <f>AND(#REF!,"AAAAAD+/vgI=")</f>
        <v>#REF!</v>
      </c>
      <c r="D31" t="e">
        <f>AND(#REF!,"AAAAAD+/vgM=")</f>
        <v>#REF!</v>
      </c>
      <c r="E31" t="e">
        <f>AND(#REF!,"AAAAAD+/vgQ=")</f>
        <v>#REF!</v>
      </c>
      <c r="F31" t="e">
        <f>AND(#REF!,"AAAAAD+/vgU=")</f>
        <v>#REF!</v>
      </c>
      <c r="G31" t="e">
        <f>AND(#REF!,"AAAAAD+/vgY=")</f>
        <v>#REF!</v>
      </c>
      <c r="H31" t="e">
        <f>AND(#REF!,"AAAAAD+/vgc=")</f>
        <v>#REF!</v>
      </c>
      <c r="I31" t="e">
        <f>AND(#REF!,"AAAAAD+/vgg=")</f>
        <v>#REF!</v>
      </c>
      <c r="J31" t="e">
        <f>AND(#REF!,"AAAAAD+/vgk=")</f>
        <v>#REF!</v>
      </c>
      <c r="K31" t="e">
        <f>AND(#REF!,"AAAAAD+/vgo=")</f>
        <v>#REF!</v>
      </c>
      <c r="L31" t="e">
        <f>IF(#REF!,"AAAAAD+/vgs=",0)</f>
        <v>#REF!</v>
      </c>
      <c r="M31" t="e">
        <f>AND(#REF!,"AAAAAD+/vgw=")</f>
        <v>#REF!</v>
      </c>
      <c r="N31" t="e">
        <f>AND(#REF!,"AAAAAD+/vg0=")</f>
        <v>#REF!</v>
      </c>
      <c r="O31" t="e">
        <f>AND(#REF!,"AAAAAD+/vg4=")</f>
        <v>#REF!</v>
      </c>
      <c r="P31" t="e">
        <f>AND(#REF!,"AAAAAD+/vg8=")</f>
        <v>#REF!</v>
      </c>
      <c r="Q31" t="e">
        <f>AND(#REF!,"AAAAAD+/vhA=")</f>
        <v>#REF!</v>
      </c>
      <c r="R31" t="e">
        <f>AND(#REF!,"AAAAAD+/vhE=")</f>
        <v>#REF!</v>
      </c>
      <c r="S31" t="e">
        <f>AND(#REF!,"AAAAAD+/vhI=")</f>
        <v>#REF!</v>
      </c>
      <c r="T31" t="e">
        <f>AND(#REF!,"AAAAAD+/vhM=")</f>
        <v>#REF!</v>
      </c>
      <c r="U31" t="e">
        <f>AND(#REF!,"AAAAAD+/vhQ=")</f>
        <v>#REF!</v>
      </c>
      <c r="V31" t="e">
        <f>AND(#REF!,"AAAAAD+/vhU=")</f>
        <v>#REF!</v>
      </c>
      <c r="W31" t="e">
        <f>AND(#REF!,"AAAAAD+/vhY=")</f>
        <v>#REF!</v>
      </c>
      <c r="X31" t="e">
        <f>AND(#REF!,"AAAAAD+/vhc=")</f>
        <v>#REF!</v>
      </c>
      <c r="Y31" t="e">
        <f>AND(#REF!,"AAAAAD+/vhg=")</f>
        <v>#REF!</v>
      </c>
      <c r="Z31" t="e">
        <f>AND(#REF!,"AAAAAD+/vhk=")</f>
        <v>#REF!</v>
      </c>
      <c r="AA31" t="e">
        <f>AND(#REF!,"AAAAAD+/vho=")</f>
        <v>#REF!</v>
      </c>
      <c r="AB31" t="e">
        <f>IF(#REF!,"AAAAAD+/vhs=",0)</f>
        <v>#REF!</v>
      </c>
      <c r="AC31" t="e">
        <f>AND(#REF!,"AAAAAD+/vhw=")</f>
        <v>#REF!</v>
      </c>
      <c r="AD31" t="e">
        <f>AND(#REF!,"AAAAAD+/vh0=")</f>
        <v>#REF!</v>
      </c>
      <c r="AE31" t="e">
        <f>AND(#REF!,"AAAAAD+/vh4=")</f>
        <v>#REF!</v>
      </c>
      <c r="AF31" t="e">
        <f>AND(#REF!,"AAAAAD+/vh8=")</f>
        <v>#REF!</v>
      </c>
      <c r="AG31" t="e">
        <f>AND(#REF!,"AAAAAD+/viA=")</f>
        <v>#REF!</v>
      </c>
      <c r="AH31" t="e">
        <f>AND(#REF!,"AAAAAD+/viE=")</f>
        <v>#REF!</v>
      </c>
      <c r="AI31" t="e">
        <f>AND(#REF!,"AAAAAD+/viI=")</f>
        <v>#REF!</v>
      </c>
      <c r="AJ31" t="e">
        <f>AND(#REF!,"AAAAAD+/viM=")</f>
        <v>#REF!</v>
      </c>
      <c r="AK31" t="e">
        <f>AND(#REF!,"AAAAAD+/viQ=")</f>
        <v>#REF!</v>
      </c>
      <c r="AL31" t="e">
        <f>AND(#REF!,"AAAAAD+/viU=")</f>
        <v>#REF!</v>
      </c>
      <c r="AM31" t="e">
        <f>AND(#REF!,"AAAAAD+/viY=")</f>
        <v>#REF!</v>
      </c>
      <c r="AN31" t="e">
        <f>AND(#REF!,"AAAAAD+/vic=")</f>
        <v>#REF!</v>
      </c>
      <c r="AO31" t="e">
        <f>AND(#REF!,"AAAAAD+/vig=")</f>
        <v>#REF!</v>
      </c>
      <c r="AP31" t="e">
        <f>AND(#REF!,"AAAAAD+/vik=")</f>
        <v>#REF!</v>
      </c>
      <c r="AQ31" t="e">
        <f>AND(#REF!,"AAAAAD+/vio=")</f>
        <v>#REF!</v>
      </c>
      <c r="AR31" t="e">
        <f>IF(#REF!,"AAAAAD+/vis=",0)</f>
        <v>#REF!</v>
      </c>
      <c r="AS31" t="e">
        <f>AND(#REF!,"AAAAAD+/viw=")</f>
        <v>#REF!</v>
      </c>
      <c r="AT31" t="e">
        <f>AND(#REF!,"AAAAAD+/vi0=")</f>
        <v>#REF!</v>
      </c>
      <c r="AU31" t="e">
        <f>AND(#REF!,"AAAAAD+/vi4=")</f>
        <v>#REF!</v>
      </c>
      <c r="AV31" t="e">
        <f>AND(#REF!,"AAAAAD+/vi8=")</f>
        <v>#REF!</v>
      </c>
      <c r="AW31" t="e">
        <f>AND(#REF!,"AAAAAD+/vjA=")</f>
        <v>#REF!</v>
      </c>
      <c r="AX31" t="e">
        <f>AND(#REF!,"AAAAAD+/vjE=")</f>
        <v>#REF!</v>
      </c>
      <c r="AY31" t="e">
        <f>AND(#REF!,"AAAAAD+/vjI=")</f>
        <v>#REF!</v>
      </c>
      <c r="AZ31" t="e">
        <f>AND(#REF!,"AAAAAD+/vjM=")</f>
        <v>#REF!</v>
      </c>
      <c r="BA31" t="e">
        <f>AND(#REF!,"AAAAAD+/vjQ=")</f>
        <v>#REF!</v>
      </c>
      <c r="BB31" t="e">
        <f>AND(#REF!,"AAAAAD+/vjU=")</f>
        <v>#REF!</v>
      </c>
      <c r="BC31" t="e">
        <f>AND(#REF!,"AAAAAD+/vjY=")</f>
        <v>#REF!</v>
      </c>
      <c r="BD31" t="e">
        <f>AND(#REF!,"AAAAAD+/vjc=")</f>
        <v>#REF!</v>
      </c>
      <c r="BE31" t="e">
        <f>AND(#REF!,"AAAAAD+/vjg=")</f>
        <v>#REF!</v>
      </c>
      <c r="BF31" t="e">
        <f>AND(#REF!,"AAAAAD+/vjk=")</f>
        <v>#REF!</v>
      </c>
      <c r="BG31" t="e">
        <f>AND(#REF!,"AAAAAD+/vjo=")</f>
        <v>#REF!</v>
      </c>
      <c r="BH31" t="e">
        <f>IF(#REF!,"AAAAAD+/vjs=",0)</f>
        <v>#REF!</v>
      </c>
      <c r="BI31" t="e">
        <f>AND(#REF!,"AAAAAD+/vjw=")</f>
        <v>#REF!</v>
      </c>
      <c r="BJ31" t="e">
        <f>AND(#REF!,"AAAAAD+/vj0=")</f>
        <v>#REF!</v>
      </c>
      <c r="BK31" t="e">
        <f>AND(#REF!,"AAAAAD+/vj4=")</f>
        <v>#REF!</v>
      </c>
      <c r="BL31" t="e">
        <f>AND(#REF!,"AAAAAD+/vj8=")</f>
        <v>#REF!</v>
      </c>
      <c r="BM31" t="e">
        <f>AND(#REF!,"AAAAAD+/vkA=")</f>
        <v>#REF!</v>
      </c>
      <c r="BN31" t="e">
        <f>AND(#REF!,"AAAAAD+/vkE=")</f>
        <v>#REF!</v>
      </c>
      <c r="BO31" t="e">
        <f>AND(#REF!,"AAAAAD+/vkI=")</f>
        <v>#REF!</v>
      </c>
      <c r="BP31" t="e">
        <f>AND(#REF!,"AAAAAD+/vkM=")</f>
        <v>#REF!</v>
      </c>
      <c r="BQ31" t="e">
        <f>AND(#REF!,"AAAAAD+/vkQ=")</f>
        <v>#REF!</v>
      </c>
      <c r="BR31" t="e">
        <f>AND(#REF!,"AAAAAD+/vkU=")</f>
        <v>#REF!</v>
      </c>
      <c r="BS31" t="e">
        <f>AND(#REF!,"AAAAAD+/vkY=")</f>
        <v>#REF!</v>
      </c>
      <c r="BT31" t="e">
        <f>AND(#REF!,"AAAAAD+/vkc=")</f>
        <v>#REF!</v>
      </c>
      <c r="BU31" t="e">
        <f>AND(#REF!,"AAAAAD+/vkg=")</f>
        <v>#REF!</v>
      </c>
      <c r="BV31" t="e">
        <f>AND(#REF!,"AAAAAD+/vkk=")</f>
        <v>#REF!</v>
      </c>
      <c r="BW31" t="e">
        <f>AND(#REF!,"AAAAAD+/vko=")</f>
        <v>#REF!</v>
      </c>
      <c r="BX31" t="e">
        <f>IF(#REF!,"AAAAAD+/vks=",0)</f>
        <v>#REF!</v>
      </c>
      <c r="BY31" t="e">
        <f>AND(#REF!,"AAAAAD+/vkw=")</f>
        <v>#REF!</v>
      </c>
      <c r="BZ31" t="e">
        <f>AND(#REF!,"AAAAAD+/vk0=")</f>
        <v>#REF!</v>
      </c>
      <c r="CA31" t="e">
        <f>AND(#REF!,"AAAAAD+/vk4=")</f>
        <v>#REF!</v>
      </c>
      <c r="CB31" t="e">
        <f>AND(#REF!,"AAAAAD+/vk8=")</f>
        <v>#REF!</v>
      </c>
      <c r="CC31" t="e">
        <f>AND(#REF!,"AAAAAD+/vlA=")</f>
        <v>#REF!</v>
      </c>
      <c r="CD31" t="e">
        <f>AND(#REF!,"AAAAAD+/vlE=")</f>
        <v>#REF!</v>
      </c>
      <c r="CE31" t="e">
        <f>AND(#REF!,"AAAAAD+/vlI=")</f>
        <v>#REF!</v>
      </c>
      <c r="CF31" t="e">
        <f>AND(#REF!,"AAAAAD+/vlM=")</f>
        <v>#REF!</v>
      </c>
      <c r="CG31" t="e">
        <f>AND(#REF!,"AAAAAD+/vlQ=")</f>
        <v>#REF!</v>
      </c>
      <c r="CH31" t="e">
        <f>AND(#REF!,"AAAAAD+/vlU=")</f>
        <v>#REF!</v>
      </c>
      <c r="CI31" t="e">
        <f>AND(#REF!,"AAAAAD+/vlY=")</f>
        <v>#REF!</v>
      </c>
      <c r="CJ31" t="e">
        <f>AND(#REF!,"AAAAAD+/vlc=")</f>
        <v>#REF!</v>
      </c>
      <c r="CK31" t="e">
        <f>AND(#REF!,"AAAAAD+/vlg=")</f>
        <v>#REF!</v>
      </c>
      <c r="CL31" t="e">
        <f>AND(#REF!,"AAAAAD+/vlk=")</f>
        <v>#REF!</v>
      </c>
      <c r="CM31" t="e">
        <f>AND(#REF!,"AAAAAD+/vlo=")</f>
        <v>#REF!</v>
      </c>
      <c r="CN31" t="e">
        <f>IF(#REF!,"AAAAAD+/vls=",0)</f>
        <v>#REF!</v>
      </c>
      <c r="CO31" t="e">
        <f>AND(#REF!,"AAAAAD+/vlw=")</f>
        <v>#REF!</v>
      </c>
      <c r="CP31" t="e">
        <f>AND(#REF!,"AAAAAD+/vl0=")</f>
        <v>#REF!</v>
      </c>
      <c r="CQ31" t="e">
        <f>AND(#REF!,"AAAAAD+/vl4=")</f>
        <v>#REF!</v>
      </c>
      <c r="CR31" t="e">
        <f>AND(#REF!,"AAAAAD+/vl8=")</f>
        <v>#REF!</v>
      </c>
      <c r="CS31" t="e">
        <f>AND(#REF!,"AAAAAD+/vmA=")</f>
        <v>#REF!</v>
      </c>
      <c r="CT31" t="e">
        <f>AND(#REF!,"AAAAAD+/vmE=")</f>
        <v>#REF!</v>
      </c>
      <c r="CU31" t="e">
        <f>AND(#REF!,"AAAAAD+/vmI=")</f>
        <v>#REF!</v>
      </c>
      <c r="CV31" t="e">
        <f>AND(#REF!,"AAAAAD+/vmM=")</f>
        <v>#REF!</v>
      </c>
      <c r="CW31" t="e">
        <f>AND(#REF!,"AAAAAD+/vmQ=")</f>
        <v>#REF!</v>
      </c>
      <c r="CX31" t="e">
        <f>AND(#REF!,"AAAAAD+/vmU=")</f>
        <v>#REF!</v>
      </c>
      <c r="CY31" t="e">
        <f>AND(#REF!,"AAAAAD+/vmY=")</f>
        <v>#REF!</v>
      </c>
      <c r="CZ31" t="e">
        <f>AND(#REF!,"AAAAAD+/vmc=")</f>
        <v>#REF!</v>
      </c>
      <c r="DA31" t="e">
        <f>AND(#REF!,"AAAAAD+/vmg=")</f>
        <v>#REF!</v>
      </c>
      <c r="DB31" t="e">
        <f>AND(#REF!,"AAAAAD+/vmk=")</f>
        <v>#REF!</v>
      </c>
      <c r="DC31" t="e">
        <f>AND(#REF!,"AAAAAD+/vmo=")</f>
        <v>#REF!</v>
      </c>
      <c r="DD31" t="e">
        <f>IF(#REF!,"AAAAAD+/vms=",0)</f>
        <v>#REF!</v>
      </c>
      <c r="DE31" t="e">
        <f>AND(#REF!,"AAAAAD+/vmw=")</f>
        <v>#REF!</v>
      </c>
      <c r="DF31" t="e">
        <f>AND(#REF!,"AAAAAD+/vm0=")</f>
        <v>#REF!</v>
      </c>
      <c r="DG31" t="e">
        <f>AND(#REF!,"AAAAAD+/vm4=")</f>
        <v>#REF!</v>
      </c>
      <c r="DH31" t="e">
        <f>AND(#REF!,"AAAAAD+/vm8=")</f>
        <v>#REF!</v>
      </c>
      <c r="DI31" t="e">
        <f>AND(#REF!,"AAAAAD+/vnA=")</f>
        <v>#REF!</v>
      </c>
      <c r="DJ31" t="e">
        <f>AND(#REF!,"AAAAAD+/vnE=")</f>
        <v>#REF!</v>
      </c>
      <c r="DK31" t="e">
        <f>AND(#REF!,"AAAAAD+/vnI=")</f>
        <v>#REF!</v>
      </c>
      <c r="DL31" t="e">
        <f>AND(#REF!,"AAAAAD+/vnM=")</f>
        <v>#REF!</v>
      </c>
      <c r="DM31" t="e">
        <f>AND(#REF!,"AAAAAD+/vnQ=")</f>
        <v>#REF!</v>
      </c>
      <c r="DN31" t="e">
        <f>AND(#REF!,"AAAAAD+/vnU=")</f>
        <v>#REF!</v>
      </c>
      <c r="DO31" t="e">
        <f>AND(#REF!,"AAAAAD+/vnY=")</f>
        <v>#REF!</v>
      </c>
      <c r="DP31" t="e">
        <f>AND(#REF!,"AAAAAD+/vnc=")</f>
        <v>#REF!</v>
      </c>
      <c r="DQ31" t="e">
        <f>AND(#REF!,"AAAAAD+/vng=")</f>
        <v>#REF!</v>
      </c>
      <c r="DR31" t="e">
        <f>AND(#REF!,"AAAAAD+/vnk=")</f>
        <v>#REF!</v>
      </c>
      <c r="DS31" t="e">
        <f>AND(#REF!,"AAAAAD+/vno=")</f>
        <v>#REF!</v>
      </c>
      <c r="DT31" t="e">
        <f>IF(#REF!,"AAAAAD+/vns=",0)</f>
        <v>#REF!</v>
      </c>
      <c r="DU31" t="e">
        <f>AND(#REF!,"AAAAAD+/vnw=")</f>
        <v>#REF!</v>
      </c>
      <c r="DV31" t="e">
        <f>AND(#REF!,"AAAAAD+/vn0=")</f>
        <v>#REF!</v>
      </c>
      <c r="DW31" t="e">
        <f>AND(#REF!,"AAAAAD+/vn4=")</f>
        <v>#REF!</v>
      </c>
      <c r="DX31" t="e">
        <f>AND(#REF!,"AAAAAD+/vn8=")</f>
        <v>#REF!</v>
      </c>
      <c r="DY31" t="e">
        <f>AND(#REF!,"AAAAAD+/voA=")</f>
        <v>#REF!</v>
      </c>
      <c r="DZ31" t="e">
        <f>AND(#REF!,"AAAAAD+/voE=")</f>
        <v>#REF!</v>
      </c>
      <c r="EA31" t="e">
        <f>AND(#REF!,"AAAAAD+/voI=")</f>
        <v>#REF!</v>
      </c>
      <c r="EB31" t="e">
        <f>AND(#REF!,"AAAAAD+/voM=")</f>
        <v>#REF!</v>
      </c>
      <c r="EC31" t="e">
        <f>AND(#REF!,"AAAAAD+/voQ=")</f>
        <v>#REF!</v>
      </c>
      <c r="ED31" t="e">
        <f>AND(#REF!,"AAAAAD+/voU=")</f>
        <v>#REF!</v>
      </c>
      <c r="EE31" t="e">
        <f>AND(#REF!,"AAAAAD+/voY=")</f>
        <v>#REF!</v>
      </c>
      <c r="EF31" t="e">
        <f>AND(#REF!,"AAAAAD+/voc=")</f>
        <v>#REF!</v>
      </c>
      <c r="EG31" t="e">
        <f>AND(#REF!,"AAAAAD+/vog=")</f>
        <v>#REF!</v>
      </c>
      <c r="EH31" t="e">
        <f>AND(#REF!,"AAAAAD+/vok=")</f>
        <v>#REF!</v>
      </c>
      <c r="EI31" t="e">
        <f>AND(#REF!,"AAAAAD+/voo=")</f>
        <v>#REF!</v>
      </c>
      <c r="EJ31" t="e">
        <f>IF(#REF!,"AAAAAD+/vos=",0)</f>
        <v>#REF!</v>
      </c>
      <c r="EK31" t="e">
        <f>AND(#REF!,"AAAAAD+/vow=")</f>
        <v>#REF!</v>
      </c>
      <c r="EL31" t="e">
        <f>AND(#REF!,"AAAAAD+/vo0=")</f>
        <v>#REF!</v>
      </c>
      <c r="EM31" t="e">
        <f>AND(#REF!,"AAAAAD+/vo4=")</f>
        <v>#REF!</v>
      </c>
      <c r="EN31" t="e">
        <f>AND(#REF!,"AAAAAD+/vo8=")</f>
        <v>#REF!</v>
      </c>
      <c r="EO31" t="e">
        <f>AND(#REF!,"AAAAAD+/vpA=")</f>
        <v>#REF!</v>
      </c>
      <c r="EP31" t="e">
        <f>AND(#REF!,"AAAAAD+/vpE=")</f>
        <v>#REF!</v>
      </c>
      <c r="EQ31" t="e">
        <f>AND(#REF!,"AAAAAD+/vpI=")</f>
        <v>#REF!</v>
      </c>
      <c r="ER31" t="e">
        <f>AND(#REF!,"AAAAAD+/vpM=")</f>
        <v>#REF!</v>
      </c>
      <c r="ES31" t="e">
        <f>AND(#REF!,"AAAAAD+/vpQ=")</f>
        <v>#REF!</v>
      </c>
      <c r="ET31" t="e">
        <f>AND(#REF!,"AAAAAD+/vpU=")</f>
        <v>#REF!</v>
      </c>
      <c r="EU31" t="e">
        <f>AND(#REF!,"AAAAAD+/vpY=")</f>
        <v>#REF!</v>
      </c>
      <c r="EV31" t="e">
        <f>AND(#REF!,"AAAAAD+/vpc=")</f>
        <v>#REF!</v>
      </c>
      <c r="EW31" t="e">
        <f>AND(#REF!,"AAAAAD+/vpg=")</f>
        <v>#REF!</v>
      </c>
      <c r="EX31" t="e">
        <f>AND(#REF!,"AAAAAD+/vpk=")</f>
        <v>#REF!</v>
      </c>
      <c r="EY31" t="e">
        <f>AND(#REF!,"AAAAAD+/vpo=")</f>
        <v>#REF!</v>
      </c>
      <c r="EZ31" t="e">
        <f>IF(#REF!,"AAAAAD+/vps=",0)</f>
        <v>#REF!</v>
      </c>
      <c r="FA31" t="e">
        <f>AND(#REF!,"AAAAAD+/vpw=")</f>
        <v>#REF!</v>
      </c>
      <c r="FB31" t="e">
        <f>AND(#REF!,"AAAAAD+/vp0=")</f>
        <v>#REF!</v>
      </c>
      <c r="FC31" t="e">
        <f>AND(#REF!,"AAAAAD+/vp4=")</f>
        <v>#REF!</v>
      </c>
      <c r="FD31" t="e">
        <f>AND(#REF!,"AAAAAD+/vp8=")</f>
        <v>#REF!</v>
      </c>
      <c r="FE31" t="e">
        <f>AND(#REF!,"AAAAAD+/vqA=")</f>
        <v>#REF!</v>
      </c>
      <c r="FF31" t="e">
        <f>AND(#REF!,"AAAAAD+/vqE=")</f>
        <v>#REF!</v>
      </c>
      <c r="FG31" t="e">
        <f>AND(#REF!,"AAAAAD+/vqI=")</f>
        <v>#REF!</v>
      </c>
      <c r="FH31" t="e">
        <f>AND(#REF!,"AAAAAD+/vqM=")</f>
        <v>#REF!</v>
      </c>
      <c r="FI31" t="e">
        <f>AND(#REF!,"AAAAAD+/vqQ=")</f>
        <v>#REF!</v>
      </c>
      <c r="FJ31" t="e">
        <f>AND(#REF!,"AAAAAD+/vqU=")</f>
        <v>#REF!</v>
      </c>
      <c r="FK31" t="e">
        <f>AND(#REF!,"AAAAAD+/vqY=")</f>
        <v>#REF!</v>
      </c>
      <c r="FL31" t="e">
        <f>AND(#REF!,"AAAAAD+/vqc=")</f>
        <v>#REF!</v>
      </c>
      <c r="FM31" t="e">
        <f>AND(#REF!,"AAAAAD+/vqg=")</f>
        <v>#REF!</v>
      </c>
      <c r="FN31" t="e">
        <f>AND(#REF!,"AAAAAD+/vqk=")</f>
        <v>#REF!</v>
      </c>
      <c r="FO31" t="e">
        <f>AND(#REF!,"AAAAAD+/vqo=")</f>
        <v>#REF!</v>
      </c>
      <c r="FP31" t="e">
        <f>IF(#REF!,"AAAAAD+/vqs=",0)</f>
        <v>#REF!</v>
      </c>
      <c r="FQ31" t="e">
        <f>AND(#REF!,"AAAAAD+/vqw=")</f>
        <v>#REF!</v>
      </c>
      <c r="FR31" t="e">
        <f>AND(#REF!,"AAAAAD+/vq0=")</f>
        <v>#REF!</v>
      </c>
      <c r="FS31" t="e">
        <f>AND(#REF!,"AAAAAD+/vq4=")</f>
        <v>#REF!</v>
      </c>
      <c r="FT31" t="e">
        <f>AND(#REF!,"AAAAAD+/vq8=")</f>
        <v>#REF!</v>
      </c>
      <c r="FU31" t="e">
        <f>AND(#REF!,"AAAAAD+/vrA=")</f>
        <v>#REF!</v>
      </c>
      <c r="FV31" t="e">
        <f>AND(#REF!,"AAAAAD+/vrE=")</f>
        <v>#REF!</v>
      </c>
      <c r="FW31" t="e">
        <f>AND(#REF!,"AAAAAD+/vrI=")</f>
        <v>#REF!</v>
      </c>
      <c r="FX31" t="e">
        <f>AND(#REF!,"AAAAAD+/vrM=")</f>
        <v>#REF!</v>
      </c>
      <c r="FY31" t="e">
        <f>AND(#REF!,"AAAAAD+/vrQ=")</f>
        <v>#REF!</v>
      </c>
      <c r="FZ31" t="e">
        <f>AND(#REF!,"AAAAAD+/vrU=")</f>
        <v>#REF!</v>
      </c>
      <c r="GA31" t="e">
        <f>AND(#REF!,"AAAAAD+/vrY=")</f>
        <v>#REF!</v>
      </c>
      <c r="GB31" t="e">
        <f>AND(#REF!,"AAAAAD+/vrc=")</f>
        <v>#REF!</v>
      </c>
      <c r="GC31" t="e">
        <f>AND(#REF!,"AAAAAD+/vrg=")</f>
        <v>#REF!</v>
      </c>
      <c r="GD31" t="e">
        <f>AND(#REF!,"AAAAAD+/vrk=")</f>
        <v>#REF!</v>
      </c>
      <c r="GE31" t="e">
        <f>AND(#REF!,"AAAAAD+/vro=")</f>
        <v>#REF!</v>
      </c>
      <c r="GF31" t="e">
        <f>IF(#REF!,"AAAAAD+/vrs=",0)</f>
        <v>#REF!</v>
      </c>
      <c r="GG31" t="e">
        <f>AND(#REF!,"AAAAAD+/vrw=")</f>
        <v>#REF!</v>
      </c>
      <c r="GH31" t="e">
        <f>AND(#REF!,"AAAAAD+/vr0=")</f>
        <v>#REF!</v>
      </c>
      <c r="GI31" t="e">
        <f>AND(#REF!,"AAAAAD+/vr4=")</f>
        <v>#REF!</v>
      </c>
      <c r="GJ31" t="e">
        <f>AND(#REF!,"AAAAAD+/vr8=")</f>
        <v>#REF!</v>
      </c>
      <c r="GK31" t="e">
        <f>AND(#REF!,"AAAAAD+/vsA=")</f>
        <v>#REF!</v>
      </c>
      <c r="GL31" t="e">
        <f>AND(#REF!,"AAAAAD+/vsE=")</f>
        <v>#REF!</v>
      </c>
      <c r="GM31" t="e">
        <f>AND(#REF!,"AAAAAD+/vsI=")</f>
        <v>#REF!</v>
      </c>
      <c r="GN31" t="e">
        <f>AND(#REF!,"AAAAAD+/vsM=")</f>
        <v>#REF!</v>
      </c>
      <c r="GO31" t="e">
        <f>AND(#REF!,"AAAAAD+/vsQ=")</f>
        <v>#REF!</v>
      </c>
      <c r="GP31" t="e">
        <f>AND(#REF!,"AAAAAD+/vsU=")</f>
        <v>#REF!</v>
      </c>
      <c r="GQ31" t="e">
        <f>AND(#REF!,"AAAAAD+/vsY=")</f>
        <v>#REF!</v>
      </c>
      <c r="GR31" t="e">
        <f>AND(#REF!,"AAAAAD+/vsc=")</f>
        <v>#REF!</v>
      </c>
      <c r="GS31" t="e">
        <f>AND(#REF!,"AAAAAD+/vsg=")</f>
        <v>#REF!</v>
      </c>
      <c r="GT31" t="e">
        <f>AND(#REF!,"AAAAAD+/vsk=")</f>
        <v>#REF!</v>
      </c>
      <c r="GU31" t="e">
        <f>AND(#REF!,"AAAAAD+/vso=")</f>
        <v>#REF!</v>
      </c>
      <c r="GV31" t="e">
        <f>IF(#REF!,"AAAAAD+/vss=",0)</f>
        <v>#REF!</v>
      </c>
      <c r="GW31" t="e">
        <f>AND(#REF!,"AAAAAD+/vsw=")</f>
        <v>#REF!</v>
      </c>
      <c r="GX31" t="e">
        <f>AND(#REF!,"AAAAAD+/vs0=")</f>
        <v>#REF!</v>
      </c>
      <c r="GY31" t="e">
        <f>AND(#REF!,"AAAAAD+/vs4=")</f>
        <v>#REF!</v>
      </c>
      <c r="GZ31" t="e">
        <f>AND(#REF!,"AAAAAD+/vs8=")</f>
        <v>#REF!</v>
      </c>
      <c r="HA31" t="e">
        <f>AND(#REF!,"AAAAAD+/vtA=")</f>
        <v>#REF!</v>
      </c>
      <c r="HB31" t="e">
        <f>AND(#REF!,"AAAAAD+/vtE=")</f>
        <v>#REF!</v>
      </c>
      <c r="HC31" t="e">
        <f>AND(#REF!,"AAAAAD+/vtI=")</f>
        <v>#REF!</v>
      </c>
      <c r="HD31" t="e">
        <f>AND(#REF!,"AAAAAD+/vtM=")</f>
        <v>#REF!</v>
      </c>
      <c r="HE31" t="e">
        <f>AND(#REF!,"AAAAAD+/vtQ=")</f>
        <v>#REF!</v>
      </c>
      <c r="HF31" t="e">
        <f>AND(#REF!,"AAAAAD+/vtU=")</f>
        <v>#REF!</v>
      </c>
      <c r="HG31" t="e">
        <f>AND(#REF!,"AAAAAD+/vtY=")</f>
        <v>#REF!</v>
      </c>
      <c r="HH31" t="e">
        <f>AND(#REF!,"AAAAAD+/vtc=")</f>
        <v>#REF!</v>
      </c>
      <c r="HI31" t="e">
        <f>AND(#REF!,"AAAAAD+/vtg=")</f>
        <v>#REF!</v>
      </c>
      <c r="HJ31" t="e">
        <f>AND(#REF!,"AAAAAD+/vtk=")</f>
        <v>#REF!</v>
      </c>
      <c r="HK31" t="e">
        <f>AND(#REF!,"AAAAAD+/vto=")</f>
        <v>#REF!</v>
      </c>
      <c r="HL31" t="e">
        <f>IF(#REF!,"AAAAAD+/vts=",0)</f>
        <v>#REF!</v>
      </c>
      <c r="HM31" t="e">
        <f>AND(#REF!,"AAAAAD+/vtw=")</f>
        <v>#REF!</v>
      </c>
      <c r="HN31" t="e">
        <f>AND(#REF!,"AAAAAD+/vt0=")</f>
        <v>#REF!</v>
      </c>
      <c r="HO31" t="e">
        <f>AND(#REF!,"AAAAAD+/vt4=")</f>
        <v>#REF!</v>
      </c>
      <c r="HP31" t="e">
        <f>AND(#REF!,"AAAAAD+/vt8=")</f>
        <v>#REF!</v>
      </c>
      <c r="HQ31" t="e">
        <f>AND(#REF!,"AAAAAD+/vuA=")</f>
        <v>#REF!</v>
      </c>
      <c r="HR31" t="e">
        <f>AND(#REF!,"AAAAAD+/vuE=")</f>
        <v>#REF!</v>
      </c>
      <c r="HS31" t="e">
        <f>AND(#REF!,"AAAAAD+/vuI=")</f>
        <v>#REF!</v>
      </c>
      <c r="HT31" t="e">
        <f>AND(#REF!,"AAAAAD+/vuM=")</f>
        <v>#REF!</v>
      </c>
      <c r="HU31" t="e">
        <f>AND(#REF!,"AAAAAD+/vuQ=")</f>
        <v>#REF!</v>
      </c>
      <c r="HV31" t="e">
        <f>AND(#REF!,"AAAAAD+/vuU=")</f>
        <v>#REF!</v>
      </c>
      <c r="HW31" t="e">
        <f>AND(#REF!,"AAAAAD+/vuY=")</f>
        <v>#REF!</v>
      </c>
      <c r="HX31" t="e">
        <f>AND(#REF!,"AAAAAD+/vuc=")</f>
        <v>#REF!</v>
      </c>
      <c r="HY31" t="e">
        <f>AND(#REF!,"AAAAAD+/vug=")</f>
        <v>#REF!</v>
      </c>
      <c r="HZ31" t="e">
        <f>AND(#REF!,"AAAAAD+/vuk=")</f>
        <v>#REF!</v>
      </c>
      <c r="IA31" t="e">
        <f>AND(#REF!,"AAAAAD+/vuo=")</f>
        <v>#REF!</v>
      </c>
      <c r="IB31" t="e">
        <f>IF(#REF!,"AAAAAD+/vus=",0)</f>
        <v>#REF!</v>
      </c>
      <c r="IC31" t="e">
        <f>AND(#REF!,"AAAAAD+/vuw=")</f>
        <v>#REF!</v>
      </c>
      <c r="ID31" t="e">
        <f>AND(#REF!,"AAAAAD+/vu0=")</f>
        <v>#REF!</v>
      </c>
      <c r="IE31" t="e">
        <f>AND(#REF!,"AAAAAD+/vu4=")</f>
        <v>#REF!</v>
      </c>
      <c r="IF31" t="e">
        <f>AND(#REF!,"AAAAAD+/vu8=")</f>
        <v>#REF!</v>
      </c>
      <c r="IG31" t="e">
        <f>AND(#REF!,"AAAAAD+/vvA=")</f>
        <v>#REF!</v>
      </c>
      <c r="IH31" t="e">
        <f>AND(#REF!,"AAAAAD+/vvE=")</f>
        <v>#REF!</v>
      </c>
      <c r="II31" t="e">
        <f>AND(#REF!,"AAAAAD+/vvI=")</f>
        <v>#REF!</v>
      </c>
      <c r="IJ31" t="e">
        <f>AND(#REF!,"AAAAAD+/vvM=")</f>
        <v>#REF!</v>
      </c>
      <c r="IK31" t="e">
        <f>AND(#REF!,"AAAAAD+/vvQ=")</f>
        <v>#REF!</v>
      </c>
      <c r="IL31" t="e">
        <f>AND(#REF!,"AAAAAD+/vvU=")</f>
        <v>#REF!</v>
      </c>
      <c r="IM31" t="e">
        <f>AND(#REF!,"AAAAAD+/vvY=")</f>
        <v>#REF!</v>
      </c>
      <c r="IN31" t="e">
        <f>AND(#REF!,"AAAAAD+/vvc=")</f>
        <v>#REF!</v>
      </c>
      <c r="IO31" t="e">
        <f>AND(#REF!,"AAAAAD+/vvg=")</f>
        <v>#REF!</v>
      </c>
      <c r="IP31" t="e">
        <f>AND(#REF!,"AAAAAD+/vvk=")</f>
        <v>#REF!</v>
      </c>
      <c r="IQ31" t="e">
        <f>AND(#REF!,"AAAAAD+/vvo=")</f>
        <v>#REF!</v>
      </c>
      <c r="IR31" t="e">
        <f>IF(#REF!,"AAAAAD+/vvs=",0)</f>
        <v>#REF!</v>
      </c>
      <c r="IS31" t="e">
        <f>AND(#REF!,"AAAAAD+/vvw=")</f>
        <v>#REF!</v>
      </c>
      <c r="IT31" t="e">
        <f>AND(#REF!,"AAAAAD+/vv0=")</f>
        <v>#REF!</v>
      </c>
      <c r="IU31" t="e">
        <f>AND(#REF!,"AAAAAD+/vv4=")</f>
        <v>#REF!</v>
      </c>
      <c r="IV31" t="e">
        <f>AND(#REF!,"AAAAAD+/vv8=")</f>
        <v>#REF!</v>
      </c>
    </row>
    <row r="32" spans="1:256">
      <c r="A32" t="e">
        <f>AND(#REF!,"AAAAAHdcngA=")</f>
        <v>#REF!</v>
      </c>
      <c r="B32" t="e">
        <f>AND(#REF!,"AAAAAHdcngE=")</f>
        <v>#REF!</v>
      </c>
      <c r="C32" t="e">
        <f>AND(#REF!,"AAAAAHdcngI=")</f>
        <v>#REF!</v>
      </c>
      <c r="D32" t="e">
        <f>AND(#REF!,"AAAAAHdcngM=")</f>
        <v>#REF!</v>
      </c>
      <c r="E32" t="e">
        <f>AND(#REF!,"AAAAAHdcngQ=")</f>
        <v>#REF!</v>
      </c>
      <c r="F32" t="e">
        <f>AND(#REF!,"AAAAAHdcngU=")</f>
        <v>#REF!</v>
      </c>
      <c r="G32" t="e">
        <f>AND(#REF!,"AAAAAHdcngY=")</f>
        <v>#REF!</v>
      </c>
      <c r="H32" t="e">
        <f>AND(#REF!,"AAAAAHdcngc=")</f>
        <v>#REF!</v>
      </c>
      <c r="I32" t="e">
        <f>AND(#REF!,"AAAAAHdcngg=")</f>
        <v>#REF!</v>
      </c>
      <c r="J32" t="e">
        <f>AND(#REF!,"AAAAAHdcngk=")</f>
        <v>#REF!</v>
      </c>
      <c r="K32" t="e">
        <f>AND(#REF!,"AAAAAHdcngo=")</f>
        <v>#REF!</v>
      </c>
      <c r="L32" t="e">
        <f>IF(#REF!,"AAAAAHdcngs=",0)</f>
        <v>#REF!</v>
      </c>
      <c r="M32" t="e">
        <f>AND(#REF!,"AAAAAHdcngw=")</f>
        <v>#REF!</v>
      </c>
      <c r="N32" t="e">
        <f>AND(#REF!,"AAAAAHdcng0=")</f>
        <v>#REF!</v>
      </c>
      <c r="O32" t="e">
        <f>IF(#REF!,"AAAAAHdcng4=",0)</f>
        <v>#REF!</v>
      </c>
      <c r="P32" t="e">
        <f>IF(#REF!,"AAAAAHdcng8=",0)</f>
        <v>#REF!</v>
      </c>
      <c r="Q32" t="e">
        <f>IF(#REF!,"AAAAAHdcnhA=",0)</f>
        <v>#REF!</v>
      </c>
      <c r="R32" t="e">
        <f>IF(#REF!,"AAAAAHdcnhE=",0)</f>
        <v>#REF!</v>
      </c>
      <c r="S32" t="e">
        <f>IF(#REF!,"AAAAAHdcnhI=",0)</f>
        <v>#REF!</v>
      </c>
      <c r="T32" t="e">
        <f>IF(#REF!,"AAAAAHdcnhM=",0)</f>
        <v>#REF!</v>
      </c>
      <c r="U32" t="e">
        <f>IF(#REF!,"AAAAAHdcnhQ=",0)</f>
        <v>#REF!</v>
      </c>
      <c r="V32" t="e">
        <f>IF(#REF!,"AAAAAHdcnhU=",0)</f>
        <v>#REF!</v>
      </c>
      <c r="W32" t="e">
        <f>IF(#REF!,"AAAAAHdcnhY=",0)</f>
        <v>#REF!</v>
      </c>
      <c r="X32" t="e">
        <f>IF(#REF!,"AAAAAHdcnhc=",0)</f>
        <v>#REF!</v>
      </c>
      <c r="Y32" t="e">
        <f>IF(#REF!,"AAAAAHdcnhg=",0)</f>
        <v>#REF!</v>
      </c>
      <c r="Z32" t="e">
        <f>IF(#REF!,"AAAAAHdcnhk=",0)</f>
        <v>#REF!</v>
      </c>
      <c r="AA32" t="e">
        <f>IF(#REF!,"AAAAAHdcnho=",0)</f>
        <v>#REF!</v>
      </c>
      <c r="AB32" t="e">
        <f>IF(#REF!,"AAAAAHdcnhs=",0)</f>
        <v>#REF!</v>
      </c>
      <c r="AC32" t="e">
        <f>IF(#REF!,"AAAAAHdcnhw=",0)</f>
        <v>#REF!</v>
      </c>
      <c r="AD32" t="e">
        <f>IF(#REF!,"AAAAAHdcnh0=",0)</f>
        <v>#REF!</v>
      </c>
      <c r="AE32" t="e">
        <f>AND(#REF!,"AAAAAHdcnh4=")</f>
        <v>#REF!</v>
      </c>
      <c r="AF32" t="e">
        <f>AND(#REF!,"AAAAAHdcnh8=")</f>
        <v>#REF!</v>
      </c>
      <c r="AG32" t="e">
        <f>AND(#REF!,"AAAAAHdcniA=")</f>
        <v>#REF!</v>
      </c>
      <c r="AH32" t="e">
        <f>AND(#REF!,"AAAAAHdcniE=")</f>
        <v>#REF!</v>
      </c>
      <c r="AI32" t="e">
        <f>AND(#REF!,"AAAAAHdcniI=")</f>
        <v>#REF!</v>
      </c>
      <c r="AJ32" t="e">
        <f>AND(#REF!,"AAAAAHdcniM=")</f>
        <v>#REF!</v>
      </c>
      <c r="AK32" t="e">
        <f>AND(#REF!,"AAAAAHdcniQ=")</f>
        <v>#REF!</v>
      </c>
      <c r="AL32" t="e">
        <f>AND(#REF!,"AAAAAHdcniU=")</f>
        <v>#REF!</v>
      </c>
      <c r="AM32" t="e">
        <f>AND(#REF!,"AAAAAHdcniY=")</f>
        <v>#REF!</v>
      </c>
      <c r="AN32" t="e">
        <f>AND(#REF!,"AAAAAHdcnic=")</f>
        <v>#REF!</v>
      </c>
      <c r="AO32" t="e">
        <f>AND(#REF!,"AAAAAHdcnig=")</f>
        <v>#REF!</v>
      </c>
      <c r="AP32" t="e">
        <f>AND(#REF!,"AAAAAHdcnik=")</f>
        <v>#REF!</v>
      </c>
      <c r="AQ32" t="e">
        <f>AND(#REF!,"AAAAAHdcnio=")</f>
        <v>#REF!</v>
      </c>
      <c r="AR32" t="e">
        <f>AND(#REF!,"AAAAAHdcnis=")</f>
        <v>#REF!</v>
      </c>
      <c r="AS32" t="e">
        <f>AND(#REF!,"AAAAAHdcniw=")</f>
        <v>#REF!</v>
      </c>
      <c r="AT32" t="e">
        <f>IF(#REF!,"AAAAAHdcni0=",0)</f>
        <v>#REF!</v>
      </c>
      <c r="AU32" t="e">
        <f>AND(#REF!,"AAAAAHdcni4=")</f>
        <v>#REF!</v>
      </c>
      <c r="AV32" t="e">
        <f>AND(#REF!,"AAAAAHdcni8=")</f>
        <v>#REF!</v>
      </c>
      <c r="AW32" t="e">
        <f>AND(#REF!,"AAAAAHdcnjA=")</f>
        <v>#REF!</v>
      </c>
      <c r="AX32" t="e">
        <f>AND(#REF!,"AAAAAHdcnjE=")</f>
        <v>#REF!</v>
      </c>
      <c r="AY32" t="e">
        <f>AND(#REF!,"AAAAAHdcnjI=")</f>
        <v>#REF!</v>
      </c>
      <c r="AZ32" t="e">
        <f>AND(#REF!,"AAAAAHdcnjM=")</f>
        <v>#REF!</v>
      </c>
      <c r="BA32" t="e">
        <f>AND(#REF!,"AAAAAHdcnjQ=")</f>
        <v>#REF!</v>
      </c>
      <c r="BB32" t="e">
        <f>AND(#REF!,"AAAAAHdcnjU=")</f>
        <v>#REF!</v>
      </c>
      <c r="BC32" t="e">
        <f>AND(#REF!,"AAAAAHdcnjY=")</f>
        <v>#REF!</v>
      </c>
      <c r="BD32" t="e">
        <f>AND(#REF!,"AAAAAHdcnjc=")</f>
        <v>#REF!</v>
      </c>
      <c r="BE32" t="e">
        <f>AND(#REF!,"AAAAAHdcnjg=")</f>
        <v>#REF!</v>
      </c>
      <c r="BF32" t="e">
        <f>AND(#REF!,"AAAAAHdcnjk=")</f>
        <v>#REF!</v>
      </c>
      <c r="BG32" t="e">
        <f>AND(#REF!,"AAAAAHdcnjo=")</f>
        <v>#REF!</v>
      </c>
      <c r="BH32" t="e">
        <f>AND(#REF!,"AAAAAHdcnjs=")</f>
        <v>#REF!</v>
      </c>
      <c r="BI32" t="e">
        <f>AND(#REF!,"AAAAAHdcnjw=")</f>
        <v>#REF!</v>
      </c>
      <c r="BJ32" t="e">
        <f>IF(#REF!,"AAAAAHdcnj0=",0)</f>
        <v>#REF!</v>
      </c>
      <c r="BK32" t="e">
        <f>AND(#REF!,"AAAAAHdcnj4=")</f>
        <v>#REF!</v>
      </c>
      <c r="BL32" t="e">
        <f>AND(#REF!,"AAAAAHdcnj8=")</f>
        <v>#REF!</v>
      </c>
      <c r="BM32" t="e">
        <f>AND(#REF!,"AAAAAHdcnkA=")</f>
        <v>#REF!</v>
      </c>
      <c r="BN32" t="e">
        <f>AND(#REF!,"AAAAAHdcnkE=")</f>
        <v>#REF!</v>
      </c>
      <c r="BO32" t="e">
        <f>AND(#REF!,"AAAAAHdcnkI=")</f>
        <v>#REF!</v>
      </c>
      <c r="BP32" t="e">
        <f>AND(#REF!,"AAAAAHdcnkM=")</f>
        <v>#REF!</v>
      </c>
      <c r="BQ32" t="e">
        <f>AND(#REF!,"AAAAAHdcnkQ=")</f>
        <v>#REF!</v>
      </c>
      <c r="BR32" t="e">
        <f>AND(#REF!,"AAAAAHdcnkU=")</f>
        <v>#REF!</v>
      </c>
      <c r="BS32" t="e">
        <f>AND(#REF!,"AAAAAHdcnkY=")</f>
        <v>#REF!</v>
      </c>
      <c r="BT32" t="e">
        <f>AND(#REF!,"AAAAAHdcnkc=")</f>
        <v>#REF!</v>
      </c>
      <c r="BU32" t="e">
        <f>AND(#REF!,"AAAAAHdcnkg=")</f>
        <v>#REF!</v>
      </c>
      <c r="BV32" t="e">
        <f>AND(#REF!,"AAAAAHdcnkk=")</f>
        <v>#REF!</v>
      </c>
      <c r="BW32" t="e">
        <f>AND(#REF!,"AAAAAHdcnko=")</f>
        <v>#REF!</v>
      </c>
      <c r="BX32" t="e">
        <f>AND(#REF!,"AAAAAHdcnks=")</f>
        <v>#REF!</v>
      </c>
      <c r="BY32" t="e">
        <f>AND(#REF!,"AAAAAHdcnkw=")</f>
        <v>#REF!</v>
      </c>
      <c r="BZ32" t="e">
        <f>IF(#REF!,"AAAAAHdcnk0=",0)</f>
        <v>#REF!</v>
      </c>
      <c r="CA32" t="e">
        <f>AND(#REF!,"AAAAAHdcnk4=")</f>
        <v>#REF!</v>
      </c>
      <c r="CB32" t="e">
        <f>AND(#REF!,"AAAAAHdcnk8=")</f>
        <v>#REF!</v>
      </c>
      <c r="CC32" t="e">
        <f>AND(#REF!,"AAAAAHdcnlA=")</f>
        <v>#REF!</v>
      </c>
      <c r="CD32" t="e">
        <f>AND(#REF!,"AAAAAHdcnlE=")</f>
        <v>#REF!</v>
      </c>
      <c r="CE32" t="e">
        <f>AND(#REF!,"AAAAAHdcnlI=")</f>
        <v>#REF!</v>
      </c>
      <c r="CF32" t="e">
        <f>AND(#REF!,"AAAAAHdcnlM=")</f>
        <v>#REF!</v>
      </c>
      <c r="CG32" t="e">
        <f>AND(#REF!,"AAAAAHdcnlQ=")</f>
        <v>#REF!</v>
      </c>
      <c r="CH32" t="e">
        <f>AND(#REF!,"AAAAAHdcnlU=")</f>
        <v>#REF!</v>
      </c>
      <c r="CI32" t="e">
        <f>AND(#REF!,"AAAAAHdcnlY=")</f>
        <v>#REF!</v>
      </c>
      <c r="CJ32" t="e">
        <f>AND(#REF!,"AAAAAHdcnlc=")</f>
        <v>#REF!</v>
      </c>
      <c r="CK32" t="e">
        <f>AND(#REF!,"AAAAAHdcnlg=")</f>
        <v>#REF!</v>
      </c>
      <c r="CL32" t="e">
        <f>AND(#REF!,"AAAAAHdcnlk=")</f>
        <v>#REF!</v>
      </c>
      <c r="CM32" t="e">
        <f>AND(#REF!,"AAAAAHdcnlo=")</f>
        <v>#REF!</v>
      </c>
      <c r="CN32" t="e">
        <f>AND(#REF!,"AAAAAHdcnls=")</f>
        <v>#REF!</v>
      </c>
      <c r="CO32" t="e">
        <f>AND(#REF!,"AAAAAHdcnlw=")</f>
        <v>#REF!</v>
      </c>
      <c r="CP32" t="e">
        <f>IF(#REF!,"AAAAAHdcnl0=",0)</f>
        <v>#REF!</v>
      </c>
      <c r="CQ32" t="e">
        <f>AND(#REF!,"AAAAAHdcnl4=")</f>
        <v>#REF!</v>
      </c>
      <c r="CR32" t="e">
        <f>AND(#REF!,"AAAAAHdcnl8=")</f>
        <v>#REF!</v>
      </c>
      <c r="CS32" t="e">
        <f>AND(#REF!,"AAAAAHdcnmA=")</f>
        <v>#REF!</v>
      </c>
      <c r="CT32" t="e">
        <f>AND(#REF!,"AAAAAHdcnmE=")</f>
        <v>#REF!</v>
      </c>
      <c r="CU32" t="e">
        <f>AND(#REF!,"AAAAAHdcnmI=")</f>
        <v>#REF!</v>
      </c>
      <c r="CV32" t="e">
        <f>AND(#REF!,"AAAAAHdcnmM=")</f>
        <v>#REF!</v>
      </c>
      <c r="CW32" t="e">
        <f>AND(#REF!,"AAAAAHdcnmQ=")</f>
        <v>#REF!</v>
      </c>
      <c r="CX32" t="e">
        <f>AND(#REF!,"AAAAAHdcnmU=")</f>
        <v>#REF!</v>
      </c>
      <c r="CY32" t="e">
        <f>AND(#REF!,"AAAAAHdcnmY=")</f>
        <v>#REF!</v>
      </c>
      <c r="CZ32" t="e">
        <f>AND(#REF!,"AAAAAHdcnmc=")</f>
        <v>#REF!</v>
      </c>
      <c r="DA32" t="e">
        <f>AND(#REF!,"AAAAAHdcnmg=")</f>
        <v>#REF!</v>
      </c>
      <c r="DB32" t="e">
        <f>AND(#REF!,"AAAAAHdcnmk=")</f>
        <v>#REF!</v>
      </c>
      <c r="DC32" t="e">
        <f>AND(#REF!,"AAAAAHdcnmo=")</f>
        <v>#REF!</v>
      </c>
      <c r="DD32" t="e">
        <f>AND(#REF!,"AAAAAHdcnms=")</f>
        <v>#REF!</v>
      </c>
      <c r="DE32" t="e">
        <f>AND(#REF!,"AAAAAHdcnmw=")</f>
        <v>#REF!</v>
      </c>
      <c r="DF32" t="e">
        <f>IF(#REF!,"AAAAAHdcnm0=",0)</f>
        <v>#REF!</v>
      </c>
      <c r="DG32" t="e">
        <f>AND(#REF!,"AAAAAHdcnm4=")</f>
        <v>#REF!</v>
      </c>
      <c r="DH32" t="e">
        <f>AND(#REF!,"AAAAAHdcnm8=")</f>
        <v>#REF!</v>
      </c>
      <c r="DI32" t="e">
        <f>AND(#REF!,"AAAAAHdcnnA=")</f>
        <v>#REF!</v>
      </c>
      <c r="DJ32" t="e">
        <f>AND(#REF!,"AAAAAHdcnnE=")</f>
        <v>#REF!</v>
      </c>
      <c r="DK32" t="e">
        <f>AND(#REF!,"AAAAAHdcnnI=")</f>
        <v>#REF!</v>
      </c>
      <c r="DL32" t="e">
        <f>AND(#REF!,"AAAAAHdcnnM=")</f>
        <v>#REF!</v>
      </c>
      <c r="DM32" t="e">
        <f>AND(#REF!,"AAAAAHdcnnQ=")</f>
        <v>#REF!</v>
      </c>
      <c r="DN32" t="e">
        <f>AND(#REF!,"AAAAAHdcnnU=")</f>
        <v>#REF!</v>
      </c>
      <c r="DO32" t="e">
        <f>AND(#REF!,"AAAAAHdcnnY=")</f>
        <v>#REF!</v>
      </c>
      <c r="DP32" t="e">
        <f>AND(#REF!,"AAAAAHdcnnc=")</f>
        <v>#REF!</v>
      </c>
      <c r="DQ32" t="e">
        <f>AND(#REF!,"AAAAAHdcnng=")</f>
        <v>#REF!</v>
      </c>
      <c r="DR32" t="e">
        <f>AND(#REF!,"AAAAAHdcnnk=")</f>
        <v>#REF!</v>
      </c>
      <c r="DS32" t="e">
        <f>AND(#REF!,"AAAAAHdcnno=")</f>
        <v>#REF!</v>
      </c>
      <c r="DT32" t="e">
        <f>AND(#REF!,"AAAAAHdcnns=")</f>
        <v>#REF!</v>
      </c>
      <c r="DU32" t="e">
        <f>AND(#REF!,"AAAAAHdcnnw=")</f>
        <v>#REF!</v>
      </c>
      <c r="DV32" t="e">
        <f>IF(#REF!,"AAAAAHdcnn0=",0)</f>
        <v>#REF!</v>
      </c>
      <c r="DW32" t="e">
        <f>AND(#REF!,"AAAAAHdcnn4=")</f>
        <v>#REF!</v>
      </c>
      <c r="DX32" t="e">
        <f>AND(#REF!,"AAAAAHdcnn8=")</f>
        <v>#REF!</v>
      </c>
      <c r="DY32" t="e">
        <f>AND(#REF!,"AAAAAHdcnoA=")</f>
        <v>#REF!</v>
      </c>
      <c r="DZ32" t="e">
        <f>AND(#REF!,"AAAAAHdcnoE=")</f>
        <v>#REF!</v>
      </c>
      <c r="EA32" t="e">
        <f>AND(#REF!,"AAAAAHdcnoI=")</f>
        <v>#REF!</v>
      </c>
      <c r="EB32" t="e">
        <f>AND(#REF!,"AAAAAHdcnoM=")</f>
        <v>#REF!</v>
      </c>
      <c r="EC32" t="e">
        <f>AND(#REF!,"AAAAAHdcnoQ=")</f>
        <v>#REF!</v>
      </c>
      <c r="ED32" t="e">
        <f>AND(#REF!,"AAAAAHdcnoU=")</f>
        <v>#REF!</v>
      </c>
      <c r="EE32" t="e">
        <f>AND(#REF!,"AAAAAHdcnoY=")</f>
        <v>#REF!</v>
      </c>
      <c r="EF32" t="e">
        <f>AND(#REF!,"AAAAAHdcnoc=")</f>
        <v>#REF!</v>
      </c>
      <c r="EG32" t="e">
        <f>AND(#REF!,"AAAAAHdcnog=")</f>
        <v>#REF!</v>
      </c>
      <c r="EH32" t="e">
        <f>AND(#REF!,"AAAAAHdcnok=")</f>
        <v>#REF!</v>
      </c>
      <c r="EI32" t="e">
        <f>AND(#REF!,"AAAAAHdcnoo=")</f>
        <v>#REF!</v>
      </c>
      <c r="EJ32" t="e">
        <f>AND(#REF!,"AAAAAHdcnos=")</f>
        <v>#REF!</v>
      </c>
      <c r="EK32" t="e">
        <f>AND(#REF!,"AAAAAHdcnow=")</f>
        <v>#REF!</v>
      </c>
      <c r="EL32" t="e">
        <f>IF(#REF!,"AAAAAHdcno0=",0)</f>
        <v>#REF!</v>
      </c>
      <c r="EM32" t="e">
        <f>AND(#REF!,"AAAAAHdcno4=")</f>
        <v>#REF!</v>
      </c>
      <c r="EN32" t="e">
        <f>AND(#REF!,"AAAAAHdcno8=")</f>
        <v>#REF!</v>
      </c>
      <c r="EO32" t="e">
        <f>AND(#REF!,"AAAAAHdcnpA=")</f>
        <v>#REF!</v>
      </c>
      <c r="EP32" t="e">
        <f>AND(#REF!,"AAAAAHdcnpE=")</f>
        <v>#REF!</v>
      </c>
      <c r="EQ32" t="e">
        <f>AND(#REF!,"AAAAAHdcnpI=")</f>
        <v>#REF!</v>
      </c>
      <c r="ER32" t="e">
        <f>AND(#REF!,"AAAAAHdcnpM=")</f>
        <v>#REF!</v>
      </c>
      <c r="ES32" t="e">
        <f>AND(#REF!,"AAAAAHdcnpQ=")</f>
        <v>#REF!</v>
      </c>
      <c r="ET32" t="e">
        <f>AND(#REF!,"AAAAAHdcnpU=")</f>
        <v>#REF!</v>
      </c>
      <c r="EU32" t="e">
        <f>AND(#REF!,"AAAAAHdcnpY=")</f>
        <v>#REF!</v>
      </c>
      <c r="EV32" t="e">
        <f>AND(#REF!,"AAAAAHdcnpc=")</f>
        <v>#REF!</v>
      </c>
      <c r="EW32" t="e">
        <f>AND(#REF!,"AAAAAHdcnpg=")</f>
        <v>#REF!</v>
      </c>
      <c r="EX32" t="e">
        <f>AND(#REF!,"AAAAAHdcnpk=")</f>
        <v>#REF!</v>
      </c>
      <c r="EY32" t="e">
        <f>AND(#REF!,"AAAAAHdcnpo=")</f>
        <v>#REF!</v>
      </c>
      <c r="EZ32" t="e">
        <f>AND(#REF!,"AAAAAHdcnps=")</f>
        <v>#REF!</v>
      </c>
      <c r="FA32" t="e">
        <f>AND(#REF!,"AAAAAHdcnpw=")</f>
        <v>#REF!</v>
      </c>
      <c r="FB32" t="e">
        <f>IF(#REF!,"AAAAAHdcnp0=",0)</f>
        <v>#REF!</v>
      </c>
      <c r="FC32" t="e">
        <f>AND(#REF!,"AAAAAHdcnp4=")</f>
        <v>#REF!</v>
      </c>
      <c r="FD32" t="e">
        <f>AND(#REF!,"AAAAAHdcnp8=")</f>
        <v>#REF!</v>
      </c>
      <c r="FE32" t="e">
        <f>AND(#REF!,"AAAAAHdcnqA=")</f>
        <v>#REF!</v>
      </c>
      <c r="FF32" t="e">
        <f>AND(#REF!,"AAAAAHdcnqE=")</f>
        <v>#REF!</v>
      </c>
      <c r="FG32" t="e">
        <f>AND(#REF!,"AAAAAHdcnqI=")</f>
        <v>#REF!</v>
      </c>
      <c r="FH32" t="e">
        <f>AND(#REF!,"AAAAAHdcnqM=")</f>
        <v>#REF!</v>
      </c>
      <c r="FI32" t="e">
        <f>AND(#REF!,"AAAAAHdcnqQ=")</f>
        <v>#REF!</v>
      </c>
      <c r="FJ32" t="e">
        <f>AND(#REF!,"AAAAAHdcnqU=")</f>
        <v>#REF!</v>
      </c>
      <c r="FK32" t="e">
        <f>AND(#REF!,"AAAAAHdcnqY=")</f>
        <v>#REF!</v>
      </c>
      <c r="FL32" t="e">
        <f>AND(#REF!,"AAAAAHdcnqc=")</f>
        <v>#REF!</v>
      </c>
      <c r="FM32" t="e">
        <f>AND(#REF!,"AAAAAHdcnqg=")</f>
        <v>#REF!</v>
      </c>
      <c r="FN32" t="e">
        <f>AND(#REF!,"AAAAAHdcnqk=")</f>
        <v>#REF!</v>
      </c>
      <c r="FO32" t="e">
        <f>AND(#REF!,"AAAAAHdcnqo=")</f>
        <v>#REF!</v>
      </c>
      <c r="FP32" t="e">
        <f>AND(#REF!,"AAAAAHdcnqs=")</f>
        <v>#REF!</v>
      </c>
      <c r="FQ32" t="e">
        <f>AND(#REF!,"AAAAAHdcnqw=")</f>
        <v>#REF!</v>
      </c>
      <c r="FR32" t="e">
        <f>IF(#REF!,"AAAAAHdcnq0=",0)</f>
        <v>#REF!</v>
      </c>
      <c r="FS32" t="e">
        <f>AND(#REF!,"AAAAAHdcnq4=")</f>
        <v>#REF!</v>
      </c>
      <c r="FT32" t="e">
        <f>AND(#REF!,"AAAAAHdcnq8=")</f>
        <v>#REF!</v>
      </c>
      <c r="FU32" t="e">
        <f>AND(#REF!,"AAAAAHdcnrA=")</f>
        <v>#REF!</v>
      </c>
      <c r="FV32" t="e">
        <f>AND(#REF!,"AAAAAHdcnrE=")</f>
        <v>#REF!</v>
      </c>
      <c r="FW32" t="e">
        <f>AND(#REF!,"AAAAAHdcnrI=")</f>
        <v>#REF!</v>
      </c>
      <c r="FX32" t="e">
        <f>AND(#REF!,"AAAAAHdcnrM=")</f>
        <v>#REF!</v>
      </c>
      <c r="FY32" t="e">
        <f>AND(#REF!,"AAAAAHdcnrQ=")</f>
        <v>#REF!</v>
      </c>
      <c r="FZ32" t="e">
        <f>AND(#REF!,"AAAAAHdcnrU=")</f>
        <v>#REF!</v>
      </c>
      <c r="GA32" t="e">
        <f>AND(#REF!,"AAAAAHdcnrY=")</f>
        <v>#REF!</v>
      </c>
      <c r="GB32" t="e">
        <f>AND(#REF!,"AAAAAHdcnrc=")</f>
        <v>#REF!</v>
      </c>
      <c r="GC32" t="e">
        <f>AND(#REF!,"AAAAAHdcnrg=")</f>
        <v>#REF!</v>
      </c>
      <c r="GD32" t="e">
        <f>AND(#REF!,"AAAAAHdcnrk=")</f>
        <v>#REF!</v>
      </c>
      <c r="GE32" t="e">
        <f>AND(#REF!,"AAAAAHdcnro=")</f>
        <v>#REF!</v>
      </c>
      <c r="GF32" t="e">
        <f>AND(#REF!,"AAAAAHdcnrs=")</f>
        <v>#REF!</v>
      </c>
      <c r="GG32" t="e">
        <f>AND(#REF!,"AAAAAHdcnrw=")</f>
        <v>#REF!</v>
      </c>
      <c r="GH32" t="e">
        <f>IF(#REF!,"AAAAAHdcnr0=",0)</f>
        <v>#REF!</v>
      </c>
      <c r="GI32" t="e">
        <f>AND(#REF!,"AAAAAHdcnr4=")</f>
        <v>#REF!</v>
      </c>
      <c r="GJ32" t="e">
        <f>AND(#REF!,"AAAAAHdcnr8=")</f>
        <v>#REF!</v>
      </c>
      <c r="GK32" t="e">
        <f>AND(#REF!,"AAAAAHdcnsA=")</f>
        <v>#REF!</v>
      </c>
      <c r="GL32" t="e">
        <f>AND(#REF!,"AAAAAHdcnsE=")</f>
        <v>#REF!</v>
      </c>
      <c r="GM32" t="e">
        <f>AND(#REF!,"AAAAAHdcnsI=")</f>
        <v>#REF!</v>
      </c>
      <c r="GN32" t="e">
        <f>AND(#REF!,"AAAAAHdcnsM=")</f>
        <v>#REF!</v>
      </c>
      <c r="GO32" t="e">
        <f>AND(#REF!,"AAAAAHdcnsQ=")</f>
        <v>#REF!</v>
      </c>
      <c r="GP32" t="e">
        <f>AND(#REF!,"AAAAAHdcnsU=")</f>
        <v>#REF!</v>
      </c>
      <c r="GQ32" t="e">
        <f>AND(#REF!,"AAAAAHdcnsY=")</f>
        <v>#REF!</v>
      </c>
      <c r="GR32" t="e">
        <f>AND(#REF!,"AAAAAHdcnsc=")</f>
        <v>#REF!</v>
      </c>
      <c r="GS32" t="e">
        <f>AND(#REF!,"AAAAAHdcnsg=")</f>
        <v>#REF!</v>
      </c>
      <c r="GT32" t="e">
        <f>AND(#REF!,"AAAAAHdcnsk=")</f>
        <v>#REF!</v>
      </c>
      <c r="GU32" t="e">
        <f>AND(#REF!,"AAAAAHdcnso=")</f>
        <v>#REF!</v>
      </c>
      <c r="GV32" t="e">
        <f>AND(#REF!,"AAAAAHdcnss=")</f>
        <v>#REF!</v>
      </c>
      <c r="GW32" t="e">
        <f>AND(#REF!,"AAAAAHdcnsw=")</f>
        <v>#REF!</v>
      </c>
      <c r="GX32" t="e">
        <f>IF(#REF!,"AAAAAHdcns0=",0)</f>
        <v>#REF!</v>
      </c>
      <c r="GY32" t="e">
        <f>AND(#REF!,"AAAAAHdcns4=")</f>
        <v>#REF!</v>
      </c>
      <c r="GZ32" t="e">
        <f>AND(#REF!,"AAAAAHdcns8=")</f>
        <v>#REF!</v>
      </c>
      <c r="HA32" t="e">
        <f>AND(#REF!,"AAAAAHdcntA=")</f>
        <v>#REF!</v>
      </c>
      <c r="HB32" t="e">
        <f>AND(#REF!,"AAAAAHdcntE=")</f>
        <v>#REF!</v>
      </c>
      <c r="HC32" t="e">
        <f>AND(#REF!,"AAAAAHdcntI=")</f>
        <v>#REF!</v>
      </c>
      <c r="HD32" t="e">
        <f>AND(#REF!,"AAAAAHdcntM=")</f>
        <v>#REF!</v>
      </c>
      <c r="HE32" t="e">
        <f>AND(#REF!,"AAAAAHdcntQ=")</f>
        <v>#REF!</v>
      </c>
      <c r="HF32" t="e">
        <f>AND(#REF!,"AAAAAHdcntU=")</f>
        <v>#REF!</v>
      </c>
      <c r="HG32" t="e">
        <f>AND(#REF!,"AAAAAHdcntY=")</f>
        <v>#REF!</v>
      </c>
      <c r="HH32" t="e">
        <f>AND(#REF!,"AAAAAHdcntc=")</f>
        <v>#REF!</v>
      </c>
      <c r="HI32" t="e">
        <f>AND(#REF!,"AAAAAHdcntg=")</f>
        <v>#REF!</v>
      </c>
      <c r="HJ32" t="e">
        <f>AND(#REF!,"AAAAAHdcntk=")</f>
        <v>#REF!</v>
      </c>
      <c r="HK32" t="e">
        <f>AND(#REF!,"AAAAAHdcnto=")</f>
        <v>#REF!</v>
      </c>
      <c r="HL32" t="e">
        <f>AND(#REF!,"AAAAAHdcnts=")</f>
        <v>#REF!</v>
      </c>
      <c r="HM32" t="e">
        <f>AND(#REF!,"AAAAAHdcntw=")</f>
        <v>#REF!</v>
      </c>
      <c r="HN32" t="e">
        <f>IF(#REF!,"AAAAAHdcnt0=",0)</f>
        <v>#REF!</v>
      </c>
      <c r="HO32" t="e">
        <f>AND(#REF!,"AAAAAHdcnt4=")</f>
        <v>#REF!</v>
      </c>
      <c r="HP32" t="e">
        <f>AND(#REF!,"AAAAAHdcnt8=")</f>
        <v>#REF!</v>
      </c>
      <c r="HQ32" t="e">
        <f>AND(#REF!,"AAAAAHdcnuA=")</f>
        <v>#REF!</v>
      </c>
      <c r="HR32" t="e">
        <f>AND(#REF!,"AAAAAHdcnuE=")</f>
        <v>#REF!</v>
      </c>
      <c r="HS32" t="e">
        <f>AND(#REF!,"AAAAAHdcnuI=")</f>
        <v>#REF!</v>
      </c>
      <c r="HT32" t="e">
        <f>AND(#REF!,"AAAAAHdcnuM=")</f>
        <v>#REF!</v>
      </c>
      <c r="HU32" t="e">
        <f>AND(#REF!,"AAAAAHdcnuQ=")</f>
        <v>#REF!</v>
      </c>
      <c r="HV32" t="e">
        <f>AND(#REF!,"AAAAAHdcnuU=")</f>
        <v>#REF!</v>
      </c>
      <c r="HW32" t="e">
        <f>AND(#REF!,"AAAAAHdcnuY=")</f>
        <v>#REF!</v>
      </c>
      <c r="HX32" t="e">
        <f>AND(#REF!,"AAAAAHdcnuc=")</f>
        <v>#REF!</v>
      </c>
      <c r="HY32" t="e">
        <f>AND(#REF!,"AAAAAHdcnug=")</f>
        <v>#REF!</v>
      </c>
      <c r="HZ32" t="e">
        <f>AND(#REF!,"AAAAAHdcnuk=")</f>
        <v>#REF!</v>
      </c>
      <c r="IA32" t="e">
        <f>AND(#REF!,"AAAAAHdcnuo=")</f>
        <v>#REF!</v>
      </c>
      <c r="IB32" t="e">
        <f>AND(#REF!,"AAAAAHdcnus=")</f>
        <v>#REF!</v>
      </c>
      <c r="IC32" t="e">
        <f>AND(#REF!,"AAAAAHdcnuw=")</f>
        <v>#REF!</v>
      </c>
      <c r="ID32" t="e">
        <f>IF(#REF!,"AAAAAHdcnu0=",0)</f>
        <v>#REF!</v>
      </c>
      <c r="IE32" t="e">
        <f>AND(#REF!,"AAAAAHdcnu4=")</f>
        <v>#REF!</v>
      </c>
      <c r="IF32" t="e">
        <f>AND(#REF!,"AAAAAHdcnu8=")</f>
        <v>#REF!</v>
      </c>
      <c r="IG32" t="e">
        <f>AND(#REF!,"AAAAAHdcnvA=")</f>
        <v>#REF!</v>
      </c>
      <c r="IH32" t="e">
        <f>AND(#REF!,"AAAAAHdcnvE=")</f>
        <v>#REF!</v>
      </c>
      <c r="II32" t="e">
        <f>AND(#REF!,"AAAAAHdcnvI=")</f>
        <v>#REF!</v>
      </c>
      <c r="IJ32" t="e">
        <f>AND(#REF!,"AAAAAHdcnvM=")</f>
        <v>#REF!</v>
      </c>
      <c r="IK32" t="e">
        <f>AND(#REF!,"AAAAAHdcnvQ=")</f>
        <v>#REF!</v>
      </c>
      <c r="IL32" t="e">
        <f>AND(#REF!,"AAAAAHdcnvU=")</f>
        <v>#REF!</v>
      </c>
      <c r="IM32" t="e">
        <f>AND(#REF!,"AAAAAHdcnvY=")</f>
        <v>#REF!</v>
      </c>
      <c r="IN32" t="e">
        <f>AND(#REF!,"AAAAAHdcnvc=")</f>
        <v>#REF!</v>
      </c>
      <c r="IO32" t="e">
        <f>AND(#REF!,"AAAAAHdcnvg=")</f>
        <v>#REF!</v>
      </c>
      <c r="IP32" t="e">
        <f>AND(#REF!,"AAAAAHdcnvk=")</f>
        <v>#REF!</v>
      </c>
      <c r="IQ32" t="e">
        <f>AND(#REF!,"AAAAAHdcnvo=")</f>
        <v>#REF!</v>
      </c>
      <c r="IR32" t="e">
        <f>AND(#REF!,"AAAAAHdcnvs=")</f>
        <v>#REF!</v>
      </c>
      <c r="IS32" t="e">
        <f>AND(#REF!,"AAAAAHdcnvw=")</f>
        <v>#REF!</v>
      </c>
      <c r="IT32" t="e">
        <f>IF(#REF!,"AAAAAHdcnv0=",0)</f>
        <v>#REF!</v>
      </c>
      <c r="IU32" t="e">
        <f>AND(#REF!,"AAAAAHdcnv4=")</f>
        <v>#REF!</v>
      </c>
      <c r="IV32" t="e">
        <f>AND(#REF!,"AAAAAHdcnv8=")</f>
        <v>#REF!</v>
      </c>
    </row>
    <row r="33" spans="1:256">
      <c r="A33" t="e">
        <f>AND(#REF!,"AAAAABV8mwA=")</f>
        <v>#REF!</v>
      </c>
      <c r="B33" t="e">
        <f>AND(#REF!,"AAAAABV8mwE=")</f>
        <v>#REF!</v>
      </c>
      <c r="C33" t="e">
        <f>AND(#REF!,"AAAAABV8mwI=")</f>
        <v>#REF!</v>
      </c>
      <c r="D33" t="e">
        <f>AND(#REF!,"AAAAABV8mwM=")</f>
        <v>#REF!</v>
      </c>
      <c r="E33" t="e">
        <f>AND(#REF!,"AAAAABV8mwQ=")</f>
        <v>#REF!</v>
      </c>
      <c r="F33" t="e">
        <f>AND(#REF!,"AAAAABV8mwU=")</f>
        <v>#REF!</v>
      </c>
      <c r="G33" t="e">
        <f>AND(#REF!,"AAAAABV8mwY=")</f>
        <v>#REF!</v>
      </c>
      <c r="H33" t="e">
        <f>AND(#REF!,"AAAAABV8mwc=")</f>
        <v>#REF!</v>
      </c>
      <c r="I33" t="e">
        <f>AND(#REF!,"AAAAABV8mwg=")</f>
        <v>#REF!</v>
      </c>
      <c r="J33" t="e">
        <f>AND(#REF!,"AAAAABV8mwk=")</f>
        <v>#REF!</v>
      </c>
      <c r="K33" t="e">
        <f>AND(#REF!,"AAAAABV8mwo=")</f>
        <v>#REF!</v>
      </c>
      <c r="L33" t="e">
        <f>AND(#REF!,"AAAAABV8mws=")</f>
        <v>#REF!</v>
      </c>
      <c r="M33" t="e">
        <f>AND(#REF!,"AAAAABV8mww=")</f>
        <v>#REF!</v>
      </c>
      <c r="N33" t="e">
        <f>IF(#REF!,"AAAAABV8mw0=",0)</f>
        <v>#REF!</v>
      </c>
      <c r="O33" t="e">
        <f>AND(#REF!,"AAAAABV8mw4=")</f>
        <v>#REF!</v>
      </c>
      <c r="P33" t="e">
        <f>AND(#REF!,"AAAAABV8mw8=")</f>
        <v>#REF!</v>
      </c>
      <c r="Q33" t="e">
        <f>AND(#REF!,"AAAAABV8mxA=")</f>
        <v>#REF!</v>
      </c>
      <c r="R33" t="e">
        <f>AND(#REF!,"AAAAABV8mxE=")</f>
        <v>#REF!</v>
      </c>
      <c r="S33" t="e">
        <f>AND(#REF!,"AAAAABV8mxI=")</f>
        <v>#REF!</v>
      </c>
      <c r="T33" t="e">
        <f>AND(#REF!,"AAAAABV8mxM=")</f>
        <v>#REF!</v>
      </c>
      <c r="U33" t="e">
        <f>AND(#REF!,"AAAAABV8mxQ=")</f>
        <v>#REF!</v>
      </c>
      <c r="V33" t="e">
        <f>AND(#REF!,"AAAAABV8mxU=")</f>
        <v>#REF!</v>
      </c>
      <c r="W33" t="e">
        <f>AND(#REF!,"AAAAABV8mxY=")</f>
        <v>#REF!</v>
      </c>
      <c r="X33" t="e">
        <f>AND(#REF!,"AAAAABV8mxc=")</f>
        <v>#REF!</v>
      </c>
      <c r="Y33" t="e">
        <f>AND(#REF!,"AAAAABV8mxg=")</f>
        <v>#REF!</v>
      </c>
      <c r="Z33" t="e">
        <f>AND(#REF!,"AAAAABV8mxk=")</f>
        <v>#REF!</v>
      </c>
      <c r="AA33" t="e">
        <f>AND(#REF!,"AAAAABV8mxo=")</f>
        <v>#REF!</v>
      </c>
      <c r="AB33" t="e">
        <f>AND(#REF!,"AAAAABV8mxs=")</f>
        <v>#REF!</v>
      </c>
      <c r="AC33" t="e">
        <f>AND(#REF!,"AAAAABV8mxw=")</f>
        <v>#REF!</v>
      </c>
      <c r="AD33" t="e">
        <f>IF(#REF!,"AAAAABV8mx0=",0)</f>
        <v>#REF!</v>
      </c>
      <c r="AE33" t="e">
        <f>AND(#REF!,"AAAAABV8mx4=")</f>
        <v>#REF!</v>
      </c>
      <c r="AF33" t="e">
        <f>AND(#REF!,"AAAAABV8mx8=")</f>
        <v>#REF!</v>
      </c>
      <c r="AG33" t="e">
        <f>AND(#REF!,"AAAAABV8myA=")</f>
        <v>#REF!</v>
      </c>
      <c r="AH33" t="e">
        <f>AND(#REF!,"AAAAABV8myE=")</f>
        <v>#REF!</v>
      </c>
      <c r="AI33" t="e">
        <f>AND(#REF!,"AAAAABV8myI=")</f>
        <v>#REF!</v>
      </c>
      <c r="AJ33" t="e">
        <f>AND(#REF!,"AAAAABV8myM=")</f>
        <v>#REF!</v>
      </c>
      <c r="AK33" t="e">
        <f>AND(#REF!,"AAAAABV8myQ=")</f>
        <v>#REF!</v>
      </c>
      <c r="AL33" t="e">
        <f>AND(#REF!,"AAAAABV8myU=")</f>
        <v>#REF!</v>
      </c>
      <c r="AM33" t="e">
        <f>AND(#REF!,"AAAAABV8myY=")</f>
        <v>#REF!</v>
      </c>
      <c r="AN33" t="e">
        <f>AND(#REF!,"AAAAABV8myc=")</f>
        <v>#REF!</v>
      </c>
      <c r="AO33" t="e">
        <f>AND(#REF!,"AAAAABV8myg=")</f>
        <v>#REF!</v>
      </c>
      <c r="AP33" t="e">
        <f>AND(#REF!,"AAAAABV8myk=")</f>
        <v>#REF!</v>
      </c>
      <c r="AQ33" t="e">
        <f>AND(#REF!,"AAAAABV8myo=")</f>
        <v>#REF!</v>
      </c>
      <c r="AR33" t="e">
        <f>AND(#REF!,"AAAAABV8mys=")</f>
        <v>#REF!</v>
      </c>
      <c r="AS33" t="e">
        <f>AND(#REF!,"AAAAABV8myw=")</f>
        <v>#REF!</v>
      </c>
      <c r="AT33" t="e">
        <f>IF(#REF!,"AAAAABV8my0=",0)</f>
        <v>#REF!</v>
      </c>
      <c r="AU33" t="e">
        <f>AND(#REF!,"AAAAABV8my4=")</f>
        <v>#REF!</v>
      </c>
      <c r="AV33" t="e">
        <f>AND(#REF!,"AAAAABV8my8=")</f>
        <v>#REF!</v>
      </c>
      <c r="AW33" t="e">
        <f>AND(#REF!,"AAAAABV8mzA=")</f>
        <v>#REF!</v>
      </c>
      <c r="AX33" t="e">
        <f>AND(#REF!,"AAAAABV8mzE=")</f>
        <v>#REF!</v>
      </c>
      <c r="AY33" t="e">
        <f>AND(#REF!,"AAAAABV8mzI=")</f>
        <v>#REF!</v>
      </c>
      <c r="AZ33" t="e">
        <f>AND(#REF!,"AAAAABV8mzM=")</f>
        <v>#REF!</v>
      </c>
      <c r="BA33" t="e">
        <f>AND(#REF!,"AAAAABV8mzQ=")</f>
        <v>#REF!</v>
      </c>
      <c r="BB33" t="e">
        <f>AND(#REF!,"AAAAABV8mzU=")</f>
        <v>#REF!</v>
      </c>
      <c r="BC33" t="e">
        <f>AND(#REF!,"AAAAABV8mzY=")</f>
        <v>#REF!</v>
      </c>
      <c r="BD33" t="e">
        <f>AND(#REF!,"AAAAABV8mzc=")</f>
        <v>#REF!</v>
      </c>
      <c r="BE33" t="e">
        <f>AND(#REF!,"AAAAABV8mzg=")</f>
        <v>#REF!</v>
      </c>
      <c r="BF33" t="e">
        <f>AND(#REF!,"AAAAABV8mzk=")</f>
        <v>#REF!</v>
      </c>
      <c r="BG33" t="e">
        <f>AND(#REF!,"AAAAABV8mzo=")</f>
        <v>#REF!</v>
      </c>
      <c r="BH33" t="e">
        <f>AND(#REF!,"AAAAABV8mzs=")</f>
        <v>#REF!</v>
      </c>
      <c r="BI33" t="e">
        <f>AND(#REF!,"AAAAABV8mzw=")</f>
        <v>#REF!</v>
      </c>
      <c r="BJ33" t="e">
        <f>IF(#REF!,"AAAAABV8mz0=",0)</f>
        <v>#REF!</v>
      </c>
      <c r="BK33" t="e">
        <f>AND(#REF!,"AAAAABV8mz4=")</f>
        <v>#REF!</v>
      </c>
      <c r="BL33" t="e">
        <f>AND(#REF!,"AAAAABV8mz8=")</f>
        <v>#REF!</v>
      </c>
      <c r="BM33" t="e">
        <f>AND(#REF!,"AAAAABV8m0A=")</f>
        <v>#REF!</v>
      </c>
      <c r="BN33" t="e">
        <f>AND(#REF!,"AAAAABV8m0E=")</f>
        <v>#REF!</v>
      </c>
      <c r="BO33" t="e">
        <f>AND(#REF!,"AAAAABV8m0I=")</f>
        <v>#REF!</v>
      </c>
      <c r="BP33" t="e">
        <f>AND(#REF!,"AAAAABV8m0M=")</f>
        <v>#REF!</v>
      </c>
      <c r="BQ33" t="e">
        <f>AND(#REF!,"AAAAABV8m0Q=")</f>
        <v>#REF!</v>
      </c>
      <c r="BR33" t="e">
        <f>AND(#REF!,"AAAAABV8m0U=")</f>
        <v>#REF!</v>
      </c>
      <c r="BS33" t="e">
        <f>AND(#REF!,"AAAAABV8m0Y=")</f>
        <v>#REF!</v>
      </c>
      <c r="BT33" t="e">
        <f>AND(#REF!,"AAAAABV8m0c=")</f>
        <v>#REF!</v>
      </c>
      <c r="BU33" t="e">
        <f>AND(#REF!,"AAAAABV8m0g=")</f>
        <v>#REF!</v>
      </c>
      <c r="BV33" t="e">
        <f>AND(#REF!,"AAAAABV8m0k=")</f>
        <v>#REF!</v>
      </c>
      <c r="BW33" t="e">
        <f>AND(#REF!,"AAAAABV8m0o=")</f>
        <v>#REF!</v>
      </c>
      <c r="BX33" t="e">
        <f>AND(#REF!,"AAAAABV8m0s=")</f>
        <v>#REF!</v>
      </c>
      <c r="BY33" t="e">
        <f>AND(#REF!,"AAAAABV8m0w=")</f>
        <v>#REF!</v>
      </c>
      <c r="BZ33" t="e">
        <f>IF(#REF!,"AAAAABV8m00=",0)</f>
        <v>#REF!</v>
      </c>
      <c r="CA33" t="e">
        <f>AND(#REF!,"AAAAABV8m04=")</f>
        <v>#REF!</v>
      </c>
      <c r="CB33" t="e">
        <f>AND(#REF!,"AAAAABV8m08=")</f>
        <v>#REF!</v>
      </c>
      <c r="CC33" t="e">
        <f>AND(#REF!,"AAAAABV8m1A=")</f>
        <v>#REF!</v>
      </c>
      <c r="CD33" t="e">
        <f>AND(#REF!,"AAAAABV8m1E=")</f>
        <v>#REF!</v>
      </c>
      <c r="CE33" t="e">
        <f>AND(#REF!,"AAAAABV8m1I=")</f>
        <v>#REF!</v>
      </c>
      <c r="CF33" t="e">
        <f>AND(#REF!,"AAAAABV8m1M=")</f>
        <v>#REF!</v>
      </c>
      <c r="CG33" t="e">
        <f>AND(#REF!,"AAAAABV8m1Q=")</f>
        <v>#REF!</v>
      </c>
      <c r="CH33" t="e">
        <f>AND(#REF!,"AAAAABV8m1U=")</f>
        <v>#REF!</v>
      </c>
      <c r="CI33" t="e">
        <f>AND(#REF!,"AAAAABV8m1Y=")</f>
        <v>#REF!</v>
      </c>
      <c r="CJ33" t="e">
        <f>AND(#REF!,"AAAAABV8m1c=")</f>
        <v>#REF!</v>
      </c>
      <c r="CK33" t="e">
        <f>AND(#REF!,"AAAAABV8m1g=")</f>
        <v>#REF!</v>
      </c>
      <c r="CL33" t="e">
        <f>AND(#REF!,"AAAAABV8m1k=")</f>
        <v>#REF!</v>
      </c>
      <c r="CM33" t="e">
        <f>AND(#REF!,"AAAAABV8m1o=")</f>
        <v>#REF!</v>
      </c>
      <c r="CN33" t="e">
        <f>AND(#REF!,"AAAAABV8m1s=")</f>
        <v>#REF!</v>
      </c>
      <c r="CO33" t="e">
        <f>AND(#REF!,"AAAAABV8m1w=")</f>
        <v>#REF!</v>
      </c>
      <c r="CP33" t="e">
        <f>IF(#REF!,"AAAAABV8m10=",0)</f>
        <v>#REF!</v>
      </c>
      <c r="CQ33" t="e">
        <f>AND(#REF!,"AAAAABV8m14=")</f>
        <v>#REF!</v>
      </c>
      <c r="CR33" t="e">
        <f>AND(#REF!,"AAAAABV8m18=")</f>
        <v>#REF!</v>
      </c>
      <c r="CS33" t="e">
        <f>AND(#REF!,"AAAAABV8m2A=")</f>
        <v>#REF!</v>
      </c>
      <c r="CT33" t="e">
        <f>AND(#REF!,"AAAAABV8m2E=")</f>
        <v>#REF!</v>
      </c>
      <c r="CU33" t="e">
        <f>AND(#REF!,"AAAAABV8m2I=")</f>
        <v>#REF!</v>
      </c>
      <c r="CV33" t="e">
        <f>AND(#REF!,"AAAAABV8m2M=")</f>
        <v>#REF!</v>
      </c>
      <c r="CW33" t="e">
        <f>AND(#REF!,"AAAAABV8m2Q=")</f>
        <v>#REF!</v>
      </c>
      <c r="CX33" t="e">
        <f>AND(#REF!,"AAAAABV8m2U=")</f>
        <v>#REF!</v>
      </c>
      <c r="CY33" t="e">
        <f>AND(#REF!,"AAAAABV8m2Y=")</f>
        <v>#REF!</v>
      </c>
      <c r="CZ33" t="e">
        <f>AND(#REF!,"AAAAABV8m2c=")</f>
        <v>#REF!</v>
      </c>
      <c r="DA33" t="e">
        <f>AND(#REF!,"AAAAABV8m2g=")</f>
        <v>#REF!</v>
      </c>
      <c r="DB33" t="e">
        <f>AND(#REF!,"AAAAABV8m2k=")</f>
        <v>#REF!</v>
      </c>
      <c r="DC33" t="e">
        <f>AND(#REF!,"AAAAABV8m2o=")</f>
        <v>#REF!</v>
      </c>
      <c r="DD33" t="e">
        <f>AND(#REF!,"AAAAABV8m2s=")</f>
        <v>#REF!</v>
      </c>
      <c r="DE33" t="e">
        <f>AND(#REF!,"AAAAABV8m2w=")</f>
        <v>#REF!</v>
      </c>
      <c r="DF33" t="e">
        <f>IF(#REF!,"AAAAABV8m20=",0)</f>
        <v>#REF!</v>
      </c>
      <c r="DG33" t="e">
        <f>AND(#REF!,"AAAAABV8m24=")</f>
        <v>#REF!</v>
      </c>
      <c r="DH33" t="e">
        <f>AND(#REF!,"AAAAABV8m28=")</f>
        <v>#REF!</v>
      </c>
      <c r="DI33" t="e">
        <f>AND(#REF!,"AAAAABV8m3A=")</f>
        <v>#REF!</v>
      </c>
      <c r="DJ33" t="e">
        <f>AND(#REF!,"AAAAABV8m3E=")</f>
        <v>#REF!</v>
      </c>
      <c r="DK33" t="e">
        <f>AND(#REF!,"AAAAABV8m3I=")</f>
        <v>#REF!</v>
      </c>
      <c r="DL33" t="e">
        <f>AND(#REF!,"AAAAABV8m3M=")</f>
        <v>#REF!</v>
      </c>
      <c r="DM33" t="e">
        <f>AND(#REF!,"AAAAABV8m3Q=")</f>
        <v>#REF!</v>
      </c>
      <c r="DN33" t="e">
        <f>AND(#REF!,"AAAAABV8m3U=")</f>
        <v>#REF!</v>
      </c>
      <c r="DO33" t="e">
        <f>AND(#REF!,"AAAAABV8m3Y=")</f>
        <v>#REF!</v>
      </c>
      <c r="DP33" t="e">
        <f>AND(#REF!,"AAAAABV8m3c=")</f>
        <v>#REF!</v>
      </c>
      <c r="DQ33" t="e">
        <f>AND(#REF!,"AAAAABV8m3g=")</f>
        <v>#REF!</v>
      </c>
      <c r="DR33" t="e">
        <f>AND(#REF!,"AAAAABV8m3k=")</f>
        <v>#REF!</v>
      </c>
      <c r="DS33" t="e">
        <f>AND(#REF!,"AAAAABV8m3o=")</f>
        <v>#REF!</v>
      </c>
      <c r="DT33" t="e">
        <f>AND(#REF!,"AAAAABV8m3s=")</f>
        <v>#REF!</v>
      </c>
      <c r="DU33" t="e">
        <f>AND(#REF!,"AAAAABV8m3w=")</f>
        <v>#REF!</v>
      </c>
      <c r="DV33" t="e">
        <f>IF(#REF!,"AAAAABV8m30=",0)</f>
        <v>#REF!</v>
      </c>
      <c r="DW33" t="e">
        <f>AND(#REF!,"AAAAABV8m34=")</f>
        <v>#REF!</v>
      </c>
      <c r="DX33" t="e">
        <f>AND(#REF!,"AAAAABV8m38=")</f>
        <v>#REF!</v>
      </c>
      <c r="DY33" t="e">
        <f>AND(#REF!,"AAAAABV8m4A=")</f>
        <v>#REF!</v>
      </c>
      <c r="DZ33" t="e">
        <f>AND(#REF!,"AAAAABV8m4E=")</f>
        <v>#REF!</v>
      </c>
      <c r="EA33" t="e">
        <f>AND(#REF!,"AAAAABV8m4I=")</f>
        <v>#REF!</v>
      </c>
      <c r="EB33" t="e">
        <f>AND(#REF!,"AAAAABV8m4M=")</f>
        <v>#REF!</v>
      </c>
      <c r="EC33" t="e">
        <f>AND(#REF!,"AAAAABV8m4Q=")</f>
        <v>#REF!</v>
      </c>
      <c r="ED33" t="e">
        <f>AND(#REF!,"AAAAABV8m4U=")</f>
        <v>#REF!</v>
      </c>
      <c r="EE33" t="e">
        <f>AND(#REF!,"AAAAABV8m4Y=")</f>
        <v>#REF!</v>
      </c>
      <c r="EF33" t="e">
        <f>AND(#REF!,"AAAAABV8m4c=")</f>
        <v>#REF!</v>
      </c>
      <c r="EG33" t="e">
        <f>AND(#REF!,"AAAAABV8m4g=")</f>
        <v>#REF!</v>
      </c>
      <c r="EH33" t="e">
        <f>AND(#REF!,"AAAAABV8m4k=")</f>
        <v>#REF!</v>
      </c>
      <c r="EI33" t="e">
        <f>AND(#REF!,"AAAAABV8m4o=")</f>
        <v>#REF!</v>
      </c>
      <c r="EJ33" t="e">
        <f>AND(#REF!,"AAAAABV8m4s=")</f>
        <v>#REF!</v>
      </c>
      <c r="EK33" t="e">
        <f>AND(#REF!,"AAAAABV8m4w=")</f>
        <v>#REF!</v>
      </c>
      <c r="EL33" t="e">
        <f>IF(#REF!,"AAAAABV8m40=",0)</f>
        <v>#REF!</v>
      </c>
      <c r="EM33" t="e">
        <f>AND(#REF!,"AAAAABV8m44=")</f>
        <v>#REF!</v>
      </c>
      <c r="EN33" t="e">
        <f>AND(#REF!,"AAAAABV8m48=")</f>
        <v>#REF!</v>
      </c>
      <c r="EO33" t="e">
        <f>AND(#REF!,"AAAAABV8m5A=")</f>
        <v>#REF!</v>
      </c>
      <c r="EP33" t="e">
        <f>AND(#REF!,"AAAAABV8m5E=")</f>
        <v>#REF!</v>
      </c>
      <c r="EQ33" t="e">
        <f>AND(#REF!,"AAAAABV8m5I=")</f>
        <v>#REF!</v>
      </c>
      <c r="ER33" t="e">
        <f>AND(#REF!,"AAAAABV8m5M=")</f>
        <v>#REF!</v>
      </c>
      <c r="ES33" t="e">
        <f>AND(#REF!,"AAAAABV8m5Q=")</f>
        <v>#REF!</v>
      </c>
      <c r="ET33" t="e">
        <f>AND(#REF!,"AAAAABV8m5U=")</f>
        <v>#REF!</v>
      </c>
      <c r="EU33" t="e">
        <f>AND(#REF!,"AAAAABV8m5Y=")</f>
        <v>#REF!</v>
      </c>
      <c r="EV33" t="e">
        <f>AND(#REF!,"AAAAABV8m5c=")</f>
        <v>#REF!</v>
      </c>
      <c r="EW33" t="e">
        <f>AND(#REF!,"AAAAABV8m5g=")</f>
        <v>#REF!</v>
      </c>
      <c r="EX33" t="e">
        <f>AND(#REF!,"AAAAABV8m5k=")</f>
        <v>#REF!</v>
      </c>
      <c r="EY33" t="e">
        <f>AND(#REF!,"AAAAABV8m5o=")</f>
        <v>#REF!</v>
      </c>
      <c r="EZ33" t="e">
        <f>AND(#REF!,"AAAAABV8m5s=")</f>
        <v>#REF!</v>
      </c>
      <c r="FA33" t="e">
        <f>AND(#REF!,"AAAAABV8m5w=")</f>
        <v>#REF!</v>
      </c>
      <c r="FB33" t="e">
        <f>IF(#REF!,"AAAAABV8m50=",0)</f>
        <v>#REF!</v>
      </c>
      <c r="FC33" t="e">
        <f>AND(#REF!,"AAAAABV8m54=")</f>
        <v>#REF!</v>
      </c>
      <c r="FD33" t="e">
        <f>AND(#REF!,"AAAAABV8m58=")</f>
        <v>#REF!</v>
      </c>
      <c r="FE33" t="e">
        <f>AND(#REF!,"AAAAABV8m6A=")</f>
        <v>#REF!</v>
      </c>
      <c r="FF33" t="e">
        <f>AND(#REF!,"AAAAABV8m6E=")</f>
        <v>#REF!</v>
      </c>
      <c r="FG33" t="e">
        <f>AND(#REF!,"AAAAABV8m6I=")</f>
        <v>#REF!</v>
      </c>
      <c r="FH33" t="e">
        <f>AND(#REF!,"AAAAABV8m6M=")</f>
        <v>#REF!</v>
      </c>
      <c r="FI33" t="e">
        <f>AND(#REF!,"AAAAABV8m6Q=")</f>
        <v>#REF!</v>
      </c>
      <c r="FJ33" t="e">
        <f>AND(#REF!,"AAAAABV8m6U=")</f>
        <v>#REF!</v>
      </c>
      <c r="FK33" t="e">
        <f>AND(#REF!,"AAAAABV8m6Y=")</f>
        <v>#REF!</v>
      </c>
      <c r="FL33" t="e">
        <f>AND(#REF!,"AAAAABV8m6c=")</f>
        <v>#REF!</v>
      </c>
      <c r="FM33" t="e">
        <f>AND(#REF!,"AAAAABV8m6g=")</f>
        <v>#REF!</v>
      </c>
      <c r="FN33" t="e">
        <f>AND(#REF!,"AAAAABV8m6k=")</f>
        <v>#REF!</v>
      </c>
      <c r="FO33" t="e">
        <f>AND(#REF!,"AAAAABV8m6o=")</f>
        <v>#REF!</v>
      </c>
      <c r="FP33" t="e">
        <f>AND(#REF!,"AAAAABV8m6s=")</f>
        <v>#REF!</v>
      </c>
      <c r="FQ33" t="e">
        <f>AND(#REF!,"AAAAABV8m6w=")</f>
        <v>#REF!</v>
      </c>
      <c r="FR33" t="e">
        <f>IF(#REF!,"AAAAABV8m60=",0)</f>
        <v>#REF!</v>
      </c>
      <c r="FS33" t="e">
        <f>AND(#REF!,"AAAAABV8m64=")</f>
        <v>#REF!</v>
      </c>
      <c r="FT33" t="e">
        <f>AND(#REF!,"AAAAABV8m68=")</f>
        <v>#REF!</v>
      </c>
      <c r="FU33" t="e">
        <f>AND(#REF!,"AAAAABV8m7A=")</f>
        <v>#REF!</v>
      </c>
      <c r="FV33" t="e">
        <f>AND(#REF!,"AAAAABV8m7E=")</f>
        <v>#REF!</v>
      </c>
      <c r="FW33" t="e">
        <f>AND(#REF!,"AAAAABV8m7I=")</f>
        <v>#REF!</v>
      </c>
      <c r="FX33" t="e">
        <f>AND(#REF!,"AAAAABV8m7M=")</f>
        <v>#REF!</v>
      </c>
      <c r="FY33" t="e">
        <f>AND(#REF!,"AAAAABV8m7Q=")</f>
        <v>#REF!</v>
      </c>
      <c r="FZ33" t="e">
        <f>AND(#REF!,"AAAAABV8m7U=")</f>
        <v>#REF!</v>
      </c>
      <c r="GA33" t="e">
        <f>AND(#REF!,"AAAAABV8m7Y=")</f>
        <v>#REF!</v>
      </c>
      <c r="GB33" t="e">
        <f>AND(#REF!,"AAAAABV8m7c=")</f>
        <v>#REF!</v>
      </c>
      <c r="GC33" t="e">
        <f>AND(#REF!,"AAAAABV8m7g=")</f>
        <v>#REF!</v>
      </c>
      <c r="GD33" t="e">
        <f>AND(#REF!,"AAAAABV8m7k=")</f>
        <v>#REF!</v>
      </c>
      <c r="GE33" t="e">
        <f>AND(#REF!,"AAAAABV8m7o=")</f>
        <v>#REF!</v>
      </c>
      <c r="GF33" t="e">
        <f>AND(#REF!,"AAAAABV8m7s=")</f>
        <v>#REF!</v>
      </c>
      <c r="GG33" t="e">
        <f>AND(#REF!,"AAAAABV8m7w=")</f>
        <v>#REF!</v>
      </c>
      <c r="GH33" t="e">
        <f>IF(#REF!,"AAAAABV8m70=",0)</f>
        <v>#REF!</v>
      </c>
      <c r="GI33" t="e">
        <f>AND(#REF!,"AAAAABV8m74=")</f>
        <v>#REF!</v>
      </c>
      <c r="GJ33" t="e">
        <f>AND(#REF!,"AAAAABV8m78=")</f>
        <v>#REF!</v>
      </c>
      <c r="GK33" t="e">
        <f>AND(#REF!,"AAAAABV8m8A=")</f>
        <v>#REF!</v>
      </c>
      <c r="GL33" t="e">
        <f>AND(#REF!,"AAAAABV8m8E=")</f>
        <v>#REF!</v>
      </c>
      <c r="GM33" t="e">
        <f>AND(#REF!,"AAAAABV8m8I=")</f>
        <v>#REF!</v>
      </c>
      <c r="GN33" t="e">
        <f>AND(#REF!,"AAAAABV8m8M=")</f>
        <v>#REF!</v>
      </c>
      <c r="GO33" t="e">
        <f>AND(#REF!,"AAAAABV8m8Q=")</f>
        <v>#REF!</v>
      </c>
      <c r="GP33" t="e">
        <f>AND(#REF!,"AAAAABV8m8U=")</f>
        <v>#REF!</v>
      </c>
      <c r="GQ33" t="e">
        <f>AND(#REF!,"AAAAABV8m8Y=")</f>
        <v>#REF!</v>
      </c>
      <c r="GR33" t="e">
        <f>AND(#REF!,"AAAAABV8m8c=")</f>
        <v>#REF!</v>
      </c>
      <c r="GS33" t="e">
        <f>AND(#REF!,"AAAAABV8m8g=")</f>
        <v>#REF!</v>
      </c>
      <c r="GT33" t="e">
        <f>AND(#REF!,"AAAAABV8m8k=")</f>
        <v>#REF!</v>
      </c>
      <c r="GU33" t="e">
        <f>AND(#REF!,"AAAAABV8m8o=")</f>
        <v>#REF!</v>
      </c>
      <c r="GV33" t="e">
        <f>AND(#REF!,"AAAAABV8m8s=")</f>
        <v>#REF!</v>
      </c>
      <c r="GW33" t="e">
        <f>AND(#REF!,"AAAAABV8m8w=")</f>
        <v>#REF!</v>
      </c>
      <c r="GX33" t="e">
        <f>IF(#REF!,"AAAAABV8m80=",0)</f>
        <v>#REF!</v>
      </c>
      <c r="GY33" t="e">
        <f>AND(#REF!,"AAAAABV8m84=")</f>
        <v>#REF!</v>
      </c>
      <c r="GZ33" t="e">
        <f>AND(#REF!,"AAAAABV8m88=")</f>
        <v>#REF!</v>
      </c>
      <c r="HA33" t="e">
        <f>AND(#REF!,"AAAAABV8m9A=")</f>
        <v>#REF!</v>
      </c>
      <c r="HB33" t="e">
        <f>AND(#REF!,"AAAAABV8m9E=")</f>
        <v>#REF!</v>
      </c>
      <c r="HC33" t="e">
        <f>AND(#REF!,"AAAAABV8m9I=")</f>
        <v>#REF!</v>
      </c>
      <c r="HD33" t="e">
        <f>AND(#REF!,"AAAAABV8m9M=")</f>
        <v>#REF!</v>
      </c>
      <c r="HE33" t="e">
        <f>AND(#REF!,"AAAAABV8m9Q=")</f>
        <v>#REF!</v>
      </c>
      <c r="HF33" t="e">
        <f>AND(#REF!,"AAAAABV8m9U=")</f>
        <v>#REF!</v>
      </c>
      <c r="HG33" t="e">
        <f>AND(#REF!,"AAAAABV8m9Y=")</f>
        <v>#REF!</v>
      </c>
      <c r="HH33" t="e">
        <f>AND(#REF!,"AAAAABV8m9c=")</f>
        <v>#REF!</v>
      </c>
      <c r="HI33" t="e">
        <f>AND(#REF!,"AAAAABV8m9g=")</f>
        <v>#REF!</v>
      </c>
      <c r="HJ33" t="e">
        <f>AND(#REF!,"AAAAABV8m9k=")</f>
        <v>#REF!</v>
      </c>
      <c r="HK33" t="e">
        <f>AND(#REF!,"AAAAABV8m9o=")</f>
        <v>#REF!</v>
      </c>
      <c r="HL33" t="e">
        <f>AND(#REF!,"AAAAABV8m9s=")</f>
        <v>#REF!</v>
      </c>
      <c r="HM33" t="e">
        <f>AND(#REF!,"AAAAABV8m9w=")</f>
        <v>#REF!</v>
      </c>
      <c r="HN33" t="e">
        <f>IF(#REF!,"AAAAABV8m90=",0)</f>
        <v>#REF!</v>
      </c>
      <c r="HO33" t="e">
        <f>AND(#REF!,"AAAAABV8m94=")</f>
        <v>#REF!</v>
      </c>
      <c r="HP33" t="e">
        <f>AND(#REF!,"AAAAABV8m98=")</f>
        <v>#REF!</v>
      </c>
      <c r="HQ33" t="e">
        <f>AND(#REF!,"AAAAABV8m+A=")</f>
        <v>#REF!</v>
      </c>
      <c r="HR33" t="e">
        <f>AND(#REF!,"AAAAABV8m+E=")</f>
        <v>#REF!</v>
      </c>
      <c r="HS33" t="e">
        <f>AND(#REF!,"AAAAABV8m+I=")</f>
        <v>#REF!</v>
      </c>
      <c r="HT33" t="e">
        <f>AND(#REF!,"AAAAABV8m+M=")</f>
        <v>#REF!</v>
      </c>
      <c r="HU33" t="e">
        <f>AND(#REF!,"AAAAABV8m+Q=")</f>
        <v>#REF!</v>
      </c>
      <c r="HV33" t="e">
        <f>AND(#REF!,"AAAAABV8m+U=")</f>
        <v>#REF!</v>
      </c>
      <c r="HW33" t="e">
        <f>AND(#REF!,"AAAAABV8m+Y=")</f>
        <v>#REF!</v>
      </c>
      <c r="HX33" t="e">
        <f>AND(#REF!,"AAAAABV8m+c=")</f>
        <v>#REF!</v>
      </c>
      <c r="HY33" t="e">
        <f>AND(#REF!,"AAAAABV8m+g=")</f>
        <v>#REF!</v>
      </c>
      <c r="HZ33" t="e">
        <f>AND(#REF!,"AAAAABV8m+k=")</f>
        <v>#REF!</v>
      </c>
      <c r="IA33" t="e">
        <f>AND(#REF!,"AAAAABV8m+o=")</f>
        <v>#REF!</v>
      </c>
      <c r="IB33" t="e">
        <f>AND(#REF!,"AAAAABV8m+s=")</f>
        <v>#REF!</v>
      </c>
      <c r="IC33" t="e">
        <f>AND(#REF!,"AAAAABV8m+w=")</f>
        <v>#REF!</v>
      </c>
      <c r="ID33" t="e">
        <f>IF(#REF!,"AAAAABV8m+0=",0)</f>
        <v>#REF!</v>
      </c>
      <c r="IE33" t="e">
        <f>AND(#REF!,"AAAAABV8m+4=")</f>
        <v>#REF!</v>
      </c>
      <c r="IF33" t="e">
        <f>AND(#REF!,"AAAAABV8m+8=")</f>
        <v>#REF!</v>
      </c>
      <c r="IG33" t="e">
        <f>AND(#REF!,"AAAAABV8m/A=")</f>
        <v>#REF!</v>
      </c>
      <c r="IH33" t="e">
        <f>AND(#REF!,"AAAAABV8m/E=")</f>
        <v>#REF!</v>
      </c>
      <c r="II33" t="e">
        <f>AND(#REF!,"AAAAABV8m/I=")</f>
        <v>#REF!</v>
      </c>
      <c r="IJ33" t="e">
        <f>AND(#REF!,"AAAAABV8m/M=")</f>
        <v>#REF!</v>
      </c>
      <c r="IK33" t="e">
        <f>AND(#REF!,"AAAAABV8m/Q=")</f>
        <v>#REF!</v>
      </c>
      <c r="IL33" t="e">
        <f>AND(#REF!,"AAAAABV8m/U=")</f>
        <v>#REF!</v>
      </c>
      <c r="IM33" t="e">
        <f>AND(#REF!,"AAAAABV8m/Y=")</f>
        <v>#REF!</v>
      </c>
      <c r="IN33" t="e">
        <f>AND(#REF!,"AAAAABV8m/c=")</f>
        <v>#REF!</v>
      </c>
      <c r="IO33" t="e">
        <f>AND(#REF!,"AAAAABV8m/g=")</f>
        <v>#REF!</v>
      </c>
      <c r="IP33" t="e">
        <f>AND(#REF!,"AAAAABV8m/k=")</f>
        <v>#REF!</v>
      </c>
      <c r="IQ33" t="e">
        <f>AND(#REF!,"AAAAABV8m/o=")</f>
        <v>#REF!</v>
      </c>
      <c r="IR33" t="e">
        <f>AND(#REF!,"AAAAABV8m/s=")</f>
        <v>#REF!</v>
      </c>
      <c r="IS33" t="e">
        <f>AND(#REF!,"AAAAABV8m/w=")</f>
        <v>#REF!</v>
      </c>
      <c r="IT33" t="e">
        <f>IF(#REF!,"AAAAABV8m/0=",0)</f>
        <v>#REF!</v>
      </c>
      <c r="IU33" t="e">
        <f>AND(#REF!,"AAAAABV8m/4=")</f>
        <v>#REF!</v>
      </c>
      <c r="IV33" t="e">
        <f>AND(#REF!,"AAAAABV8m/8=")</f>
        <v>#REF!</v>
      </c>
    </row>
    <row r="34" spans="1:256">
      <c r="A34" t="e">
        <f>AND(#REF!,"AAAAADv9xwA=")</f>
        <v>#REF!</v>
      </c>
      <c r="B34" t="e">
        <f>AND(#REF!,"AAAAADv9xwE=")</f>
        <v>#REF!</v>
      </c>
      <c r="C34" t="e">
        <f>AND(#REF!,"AAAAADv9xwI=")</f>
        <v>#REF!</v>
      </c>
      <c r="D34" t="e">
        <f>AND(#REF!,"AAAAADv9xwM=")</f>
        <v>#REF!</v>
      </c>
      <c r="E34" t="e">
        <f>AND(#REF!,"AAAAADv9xwQ=")</f>
        <v>#REF!</v>
      </c>
      <c r="F34" t="e">
        <f>AND(#REF!,"AAAAADv9xwU=")</f>
        <v>#REF!</v>
      </c>
      <c r="G34" t="e">
        <f>AND(#REF!,"AAAAADv9xwY=")</f>
        <v>#REF!</v>
      </c>
      <c r="H34" t="e">
        <f>AND(#REF!,"AAAAADv9xwc=")</f>
        <v>#REF!</v>
      </c>
      <c r="I34" t="e">
        <f>AND(#REF!,"AAAAADv9xwg=")</f>
        <v>#REF!</v>
      </c>
      <c r="J34" t="e">
        <f>AND(#REF!,"AAAAADv9xwk=")</f>
        <v>#REF!</v>
      </c>
      <c r="K34" t="e">
        <f>AND(#REF!,"AAAAADv9xwo=")</f>
        <v>#REF!</v>
      </c>
      <c r="L34" t="e">
        <f>AND(#REF!,"AAAAADv9xws=")</f>
        <v>#REF!</v>
      </c>
      <c r="M34" t="e">
        <f>AND(#REF!,"AAAAADv9xww=")</f>
        <v>#REF!</v>
      </c>
      <c r="N34" t="e">
        <f>IF(#REF!,"AAAAADv9xw0=",0)</f>
        <v>#REF!</v>
      </c>
      <c r="O34" t="e">
        <f>AND(#REF!,"AAAAADv9xw4=")</f>
        <v>#REF!</v>
      </c>
      <c r="P34" t="e">
        <f>AND(#REF!,"AAAAADv9xw8=")</f>
        <v>#REF!</v>
      </c>
      <c r="Q34" t="e">
        <f>AND(#REF!,"AAAAADv9xxA=")</f>
        <v>#REF!</v>
      </c>
      <c r="R34" t="e">
        <f>AND(#REF!,"AAAAADv9xxE=")</f>
        <v>#REF!</v>
      </c>
      <c r="S34" t="e">
        <f>AND(#REF!,"AAAAADv9xxI=")</f>
        <v>#REF!</v>
      </c>
      <c r="T34" t="e">
        <f>AND(#REF!,"AAAAADv9xxM=")</f>
        <v>#REF!</v>
      </c>
      <c r="U34" t="e">
        <f>AND(#REF!,"AAAAADv9xxQ=")</f>
        <v>#REF!</v>
      </c>
      <c r="V34" t="e">
        <f>AND(#REF!,"AAAAADv9xxU=")</f>
        <v>#REF!</v>
      </c>
      <c r="W34" t="e">
        <f>AND(#REF!,"AAAAADv9xxY=")</f>
        <v>#REF!</v>
      </c>
      <c r="X34" t="e">
        <f>AND(#REF!,"AAAAADv9xxc=")</f>
        <v>#REF!</v>
      </c>
      <c r="Y34" t="e">
        <f>AND(#REF!,"AAAAADv9xxg=")</f>
        <v>#REF!</v>
      </c>
      <c r="Z34" t="e">
        <f>AND(#REF!,"AAAAADv9xxk=")</f>
        <v>#REF!</v>
      </c>
      <c r="AA34" t="e">
        <f>AND(#REF!,"AAAAADv9xxo=")</f>
        <v>#REF!</v>
      </c>
      <c r="AB34" t="e">
        <f>AND(#REF!,"AAAAADv9xxs=")</f>
        <v>#REF!</v>
      </c>
      <c r="AC34" t="e">
        <f>AND(#REF!,"AAAAADv9xxw=")</f>
        <v>#REF!</v>
      </c>
      <c r="AD34" t="e">
        <f>IF(#REF!,"AAAAADv9xx0=",0)</f>
        <v>#REF!</v>
      </c>
      <c r="AE34" t="e">
        <f>IF(#REF!,"AAAAADv9xx4=",0)</f>
        <v>#REF!</v>
      </c>
      <c r="AF34" t="e">
        <f>IF(#REF!,"AAAAADv9xx8=",0)</f>
        <v>#REF!</v>
      </c>
      <c r="AG34" t="e">
        <f>IF(#REF!,"AAAAADv9xyA=",0)</f>
        <v>#REF!</v>
      </c>
      <c r="AH34" t="e">
        <f>IF(#REF!,"AAAAADv9xyE=",0)</f>
        <v>#REF!</v>
      </c>
      <c r="AI34" t="e">
        <f>IF(#REF!,"AAAAADv9xyI=",0)</f>
        <v>#REF!</v>
      </c>
      <c r="AJ34" t="e">
        <f>IF(#REF!,"AAAAADv9xyM=",0)</f>
        <v>#REF!</v>
      </c>
      <c r="AK34" t="e">
        <f>IF(#REF!,"AAAAADv9xyQ=",0)</f>
        <v>#REF!</v>
      </c>
      <c r="AL34" t="e">
        <f>IF(#REF!,"AAAAADv9xyU=",0)</f>
        <v>#REF!</v>
      </c>
      <c r="AM34" t="e">
        <f>IF(#REF!,"AAAAADv9xyY=",0)</f>
        <v>#REF!</v>
      </c>
      <c r="AN34" t="e">
        <f>IF(#REF!,"AAAAADv9xyc=",0)</f>
        <v>#REF!</v>
      </c>
      <c r="AO34" t="e">
        <f>IF(#REF!,"AAAAADv9xyg=",0)</f>
        <v>#REF!</v>
      </c>
      <c r="AP34" t="e">
        <f>IF(#REF!,"AAAAADv9xyk=",0)</f>
        <v>#REF!</v>
      </c>
      <c r="AQ34" t="e">
        <f>IF(#REF!,"AAAAADv9xyo=",0)</f>
        <v>#REF!</v>
      </c>
      <c r="AR34" t="e">
        <f>IF(#REF!,"AAAAADv9xys=",0)</f>
        <v>#REF!</v>
      </c>
      <c r="AS34" t="e">
        <f>IF(#REF!,"AAAAADv9xyw=",0)</f>
        <v>#REF!</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t="e">
        <f>IF(#REF!,"AAAAAH7/t/E=",0)</f>
        <v>#REF!</v>
      </c>
      <c r="II42" t="e">
        <f>AND(#REF!,"AAAAAH7/t/I=")</f>
        <v>#REF!</v>
      </c>
      <c r="IJ42" t="e">
        <f>AND(#REF!,"AAAAAH7/t/M=")</f>
        <v>#REF!</v>
      </c>
      <c r="IK42" t="e">
        <f>AND(#REF!,"AAAAAH7/t/Q=")</f>
        <v>#REF!</v>
      </c>
      <c r="IL42" t="e">
        <f>AND(#REF!,"AAAAAH7/t/U=")</f>
        <v>#REF!</v>
      </c>
      <c r="IM42" t="e">
        <f>AND(#REF!,"AAAAAH7/t/Y=")</f>
        <v>#REF!</v>
      </c>
      <c r="IN42" t="e">
        <f>AND(#REF!,"AAAAAH7/t/c=")</f>
        <v>#REF!</v>
      </c>
      <c r="IO42" t="e">
        <f>AND(#REF!,"AAAAAH7/t/g=")</f>
        <v>#REF!</v>
      </c>
      <c r="IP42" t="e">
        <f>AND(#REF!,"AAAAAH7/t/k=")</f>
        <v>#REF!</v>
      </c>
      <c r="IQ42" t="e">
        <f>AND(#REF!,"AAAAAH7/t/o=")</f>
        <v>#REF!</v>
      </c>
      <c r="IR42" t="e">
        <f>AND(#REF!,"AAAAAH7/t/s=")</f>
        <v>#REF!</v>
      </c>
      <c r="IS42" t="e">
        <f>AND(#REF!,"AAAAAH7/t/w=")</f>
        <v>#REF!</v>
      </c>
      <c r="IT42" t="e">
        <f>AND(#REF!,"AAAAAH7/t/0=")</f>
        <v>#REF!</v>
      </c>
      <c r="IU42" t="e">
        <f>AND(#REF!,"AAAAAH7/t/4=")</f>
        <v>#REF!</v>
      </c>
      <c r="IV42" t="e">
        <f>AND(#REF!,"AAAAAH7/t/8=")</f>
        <v>#REF!</v>
      </c>
    </row>
    <row r="43" spans="1:256">
      <c r="A43" t="e">
        <f>AND(#REF!,"AAAAAH7+1wA=")</f>
        <v>#REF!</v>
      </c>
      <c r="B43" t="e">
        <f>IF(#REF!,"AAAAAH7+1wE=",0)</f>
        <v>#REF!</v>
      </c>
      <c r="C43" t="e">
        <f>AND(#REF!,"AAAAAH7+1wI=")</f>
        <v>#REF!</v>
      </c>
      <c r="D43" t="e">
        <f>AND(#REF!,"AAAAAH7+1wM=")</f>
        <v>#REF!</v>
      </c>
      <c r="E43" t="e">
        <f>AND(#REF!,"AAAAAH7+1wQ=")</f>
        <v>#REF!</v>
      </c>
      <c r="F43" t="e">
        <f>AND(#REF!,"AAAAAH7+1wU=")</f>
        <v>#REF!</v>
      </c>
      <c r="G43" t="e">
        <f>AND(#REF!,"AAAAAH7+1wY=")</f>
        <v>#REF!</v>
      </c>
      <c r="H43" t="e">
        <f>AND(#REF!,"AAAAAH7+1wc=")</f>
        <v>#REF!</v>
      </c>
      <c r="I43" t="e">
        <f>AND(#REF!,"AAAAAH7+1wg=")</f>
        <v>#REF!</v>
      </c>
      <c r="J43" t="e">
        <f>AND(#REF!,"AAAAAH7+1wk=")</f>
        <v>#REF!</v>
      </c>
      <c r="K43" t="e">
        <f>AND(#REF!,"AAAAAH7+1wo=")</f>
        <v>#REF!</v>
      </c>
      <c r="L43" t="e">
        <f>AND(#REF!,"AAAAAH7+1ws=")</f>
        <v>#REF!</v>
      </c>
      <c r="M43" t="e">
        <f>AND(#REF!,"AAAAAH7+1ww=")</f>
        <v>#REF!</v>
      </c>
      <c r="N43" t="e">
        <f>AND(#REF!,"AAAAAH7+1w0=")</f>
        <v>#REF!</v>
      </c>
      <c r="O43" t="e">
        <f>AND(#REF!,"AAAAAH7+1w4=")</f>
        <v>#REF!</v>
      </c>
      <c r="P43" t="e">
        <f>AND(#REF!,"AAAAAH7+1w8=")</f>
        <v>#REF!</v>
      </c>
      <c r="Q43" t="e">
        <f>AND(#REF!,"AAAAAH7+1xA=")</f>
        <v>#REF!</v>
      </c>
      <c r="R43" t="e">
        <f>IF(#REF!,"AAAAAH7+1xE=",0)</f>
        <v>#REF!</v>
      </c>
      <c r="S43" t="e">
        <f>AND(#REF!,"AAAAAH7+1xI=")</f>
        <v>#REF!</v>
      </c>
      <c r="T43" t="e">
        <f>AND(#REF!,"AAAAAH7+1xM=")</f>
        <v>#REF!</v>
      </c>
      <c r="U43" t="e">
        <f>AND(#REF!,"AAAAAH7+1xQ=")</f>
        <v>#REF!</v>
      </c>
      <c r="V43" t="e">
        <f>AND(#REF!,"AAAAAH7+1xU=")</f>
        <v>#REF!</v>
      </c>
      <c r="W43" t="e">
        <f>AND(#REF!,"AAAAAH7+1xY=")</f>
        <v>#REF!</v>
      </c>
      <c r="X43" t="e">
        <f>AND(#REF!,"AAAAAH7+1xc=")</f>
        <v>#REF!</v>
      </c>
      <c r="Y43" t="e">
        <f>AND(#REF!,"AAAAAH7+1xg=")</f>
        <v>#REF!</v>
      </c>
      <c r="Z43" t="e">
        <f>AND(#REF!,"AAAAAH7+1xk=")</f>
        <v>#REF!</v>
      </c>
      <c r="AA43" t="e">
        <f>AND(#REF!,"AAAAAH7+1xo=")</f>
        <v>#REF!</v>
      </c>
      <c r="AB43" t="e">
        <f>AND(#REF!,"AAAAAH7+1xs=")</f>
        <v>#REF!</v>
      </c>
      <c r="AC43" t="e">
        <f>AND(#REF!,"AAAAAH7+1xw=")</f>
        <v>#REF!</v>
      </c>
      <c r="AD43" t="e">
        <f>AND(#REF!,"AAAAAH7+1x0=")</f>
        <v>#REF!</v>
      </c>
      <c r="AE43" t="e">
        <f>AND(#REF!,"AAAAAH7+1x4=")</f>
        <v>#REF!</v>
      </c>
      <c r="AF43" t="e">
        <f>AND(#REF!,"AAAAAH7+1x8=")</f>
        <v>#REF!</v>
      </c>
      <c r="AG43" t="e">
        <f>AND(#REF!,"AAAAAH7+1yA=")</f>
        <v>#REF!</v>
      </c>
      <c r="AH43" t="e">
        <f>IF(#REF!,"AAAAAH7+1yE=",0)</f>
        <v>#REF!</v>
      </c>
      <c r="AI43" t="e">
        <f>AND(#REF!,"AAAAAH7+1yI=")</f>
        <v>#REF!</v>
      </c>
      <c r="AJ43" t="e">
        <f>AND(#REF!,"AAAAAH7+1yM=")</f>
        <v>#REF!</v>
      </c>
      <c r="AK43" t="e">
        <f>AND(#REF!,"AAAAAH7+1yQ=")</f>
        <v>#REF!</v>
      </c>
      <c r="AL43" t="e">
        <f>AND(#REF!,"AAAAAH7+1yU=")</f>
        <v>#REF!</v>
      </c>
      <c r="AM43" t="e">
        <f>AND(#REF!,"AAAAAH7+1yY=")</f>
        <v>#REF!</v>
      </c>
      <c r="AN43" t="e">
        <f>AND(#REF!,"AAAAAH7+1yc=")</f>
        <v>#REF!</v>
      </c>
      <c r="AO43" t="e">
        <f>AND(#REF!,"AAAAAH7+1yg=")</f>
        <v>#REF!</v>
      </c>
      <c r="AP43" t="e">
        <f>AND(#REF!,"AAAAAH7+1yk=")</f>
        <v>#REF!</v>
      </c>
      <c r="AQ43" t="e">
        <f>AND(#REF!,"AAAAAH7+1yo=")</f>
        <v>#REF!</v>
      </c>
      <c r="AR43" t="e">
        <f>AND(#REF!,"AAAAAH7+1ys=")</f>
        <v>#REF!</v>
      </c>
      <c r="AS43" t="e">
        <f>AND(#REF!,"AAAAAH7+1yw=")</f>
        <v>#REF!</v>
      </c>
      <c r="AT43" t="e">
        <f>AND(#REF!,"AAAAAH7+1y0=")</f>
        <v>#REF!</v>
      </c>
      <c r="AU43" t="e">
        <f>AND(#REF!,"AAAAAH7+1y4=")</f>
        <v>#REF!</v>
      </c>
      <c r="AV43" t="e">
        <f>AND(#REF!,"AAAAAH7+1y8=")</f>
        <v>#REF!</v>
      </c>
      <c r="AW43" t="e">
        <f>AND(#REF!,"AAAAAH7+1zA=")</f>
        <v>#REF!</v>
      </c>
      <c r="AX43" t="e">
        <f>IF(#REF!,"AAAAAH7+1zE=",0)</f>
        <v>#REF!</v>
      </c>
      <c r="AY43" t="e">
        <f>AND(#REF!,"AAAAAH7+1zI=")</f>
        <v>#REF!</v>
      </c>
      <c r="AZ43" t="e">
        <f>AND(#REF!,"AAAAAH7+1zM=")</f>
        <v>#REF!</v>
      </c>
      <c r="BA43" t="e">
        <f>AND(#REF!,"AAAAAH7+1zQ=")</f>
        <v>#REF!</v>
      </c>
      <c r="BB43" t="e">
        <f>AND(#REF!,"AAAAAH7+1zU=")</f>
        <v>#REF!</v>
      </c>
      <c r="BC43" t="e">
        <f>AND(#REF!,"AAAAAH7+1zY=")</f>
        <v>#REF!</v>
      </c>
      <c r="BD43" t="e">
        <f>AND(#REF!,"AAAAAH7+1zc=")</f>
        <v>#REF!</v>
      </c>
      <c r="BE43" t="e">
        <f>AND(#REF!,"AAAAAH7+1zg=")</f>
        <v>#REF!</v>
      </c>
      <c r="BF43" t="e">
        <f>AND(#REF!,"AAAAAH7+1zk=")</f>
        <v>#REF!</v>
      </c>
      <c r="BG43" t="e">
        <f>AND(#REF!,"AAAAAH7+1zo=")</f>
        <v>#REF!</v>
      </c>
      <c r="BH43" t="e">
        <f>AND(#REF!,"AAAAAH7+1zs=")</f>
        <v>#REF!</v>
      </c>
      <c r="BI43" t="e">
        <f>AND(#REF!,"AAAAAH7+1zw=")</f>
        <v>#REF!</v>
      </c>
      <c r="BJ43" t="e">
        <f>AND(#REF!,"AAAAAH7+1z0=")</f>
        <v>#REF!</v>
      </c>
      <c r="BK43" t="e">
        <f>AND(#REF!,"AAAAAH7+1z4=")</f>
        <v>#REF!</v>
      </c>
      <c r="BL43" t="e">
        <f>AND(#REF!,"AAAAAH7+1z8=")</f>
        <v>#REF!</v>
      </c>
      <c r="BM43" t="e">
        <f>AND(#REF!,"AAAAAH7+10A=")</f>
        <v>#REF!</v>
      </c>
      <c r="BN43" t="e">
        <f>IF(#REF!,"AAAAAH7+10E=",0)</f>
        <v>#REF!</v>
      </c>
      <c r="BO43" t="e">
        <f>AND(#REF!,"AAAAAH7+10I=")</f>
        <v>#REF!</v>
      </c>
      <c r="BP43" t="e">
        <f>AND(#REF!,"AAAAAH7+10M=")</f>
        <v>#REF!</v>
      </c>
      <c r="BQ43" t="e">
        <f>AND(#REF!,"AAAAAH7+10Q=")</f>
        <v>#REF!</v>
      </c>
      <c r="BR43" t="e">
        <f>AND(#REF!,"AAAAAH7+10U=")</f>
        <v>#REF!</v>
      </c>
      <c r="BS43" t="e">
        <f>AND(#REF!,"AAAAAH7+10Y=")</f>
        <v>#REF!</v>
      </c>
      <c r="BT43" t="e">
        <f>AND(#REF!,"AAAAAH7+10c=")</f>
        <v>#REF!</v>
      </c>
      <c r="BU43" t="e">
        <f>AND(#REF!,"AAAAAH7+10g=")</f>
        <v>#REF!</v>
      </c>
      <c r="BV43" t="e">
        <f>AND(#REF!,"AAAAAH7+10k=")</f>
        <v>#REF!</v>
      </c>
      <c r="BW43" t="e">
        <f>AND(#REF!,"AAAAAH7+10o=")</f>
        <v>#REF!</v>
      </c>
      <c r="BX43" t="e">
        <f>AND(#REF!,"AAAAAH7+10s=")</f>
        <v>#REF!</v>
      </c>
      <c r="BY43" t="e">
        <f>AND(#REF!,"AAAAAH7+10w=")</f>
        <v>#REF!</v>
      </c>
      <c r="BZ43" t="e">
        <f>AND(#REF!,"AAAAAH7+100=")</f>
        <v>#REF!</v>
      </c>
      <c r="CA43" t="e">
        <f>AND(#REF!,"AAAAAH7+104=")</f>
        <v>#REF!</v>
      </c>
      <c r="CB43" t="e">
        <f>AND(#REF!,"AAAAAH7+108=")</f>
        <v>#REF!</v>
      </c>
      <c r="CC43" t="e">
        <f>AND(#REF!,"AAAAAH7+11A=")</f>
        <v>#REF!</v>
      </c>
      <c r="CD43" t="e">
        <f>IF(#REF!,"AAAAAH7+11E=",0)</f>
        <v>#REF!</v>
      </c>
      <c r="CE43" t="e">
        <f>AND(#REF!,"AAAAAH7+11I=")</f>
        <v>#REF!</v>
      </c>
      <c r="CF43" t="e">
        <f>AND(#REF!,"AAAAAH7+11M=")</f>
        <v>#REF!</v>
      </c>
      <c r="CG43" t="e">
        <f>AND(#REF!,"AAAAAH7+11Q=")</f>
        <v>#REF!</v>
      </c>
      <c r="CH43" t="e">
        <f>AND(#REF!,"AAAAAH7+11U=")</f>
        <v>#REF!</v>
      </c>
      <c r="CI43" t="e">
        <f>AND(#REF!,"AAAAAH7+11Y=")</f>
        <v>#REF!</v>
      </c>
      <c r="CJ43" t="e">
        <f>AND(#REF!,"AAAAAH7+11c=")</f>
        <v>#REF!</v>
      </c>
      <c r="CK43" t="e">
        <f>AND(#REF!,"AAAAAH7+11g=")</f>
        <v>#REF!</v>
      </c>
      <c r="CL43" t="e">
        <f>AND(#REF!,"AAAAAH7+11k=")</f>
        <v>#REF!</v>
      </c>
      <c r="CM43" t="e">
        <f>AND(#REF!,"AAAAAH7+11o=")</f>
        <v>#REF!</v>
      </c>
      <c r="CN43" t="e">
        <f>AND(#REF!,"AAAAAH7+11s=")</f>
        <v>#REF!</v>
      </c>
      <c r="CO43" t="e">
        <f>AND(#REF!,"AAAAAH7+11w=")</f>
        <v>#REF!</v>
      </c>
      <c r="CP43" t="e">
        <f>AND(#REF!,"AAAAAH7+110=")</f>
        <v>#REF!</v>
      </c>
      <c r="CQ43" t="e">
        <f>AND(#REF!,"AAAAAH7+114=")</f>
        <v>#REF!</v>
      </c>
      <c r="CR43" t="e">
        <f>AND(#REF!,"AAAAAH7+118=")</f>
        <v>#REF!</v>
      </c>
      <c r="CS43" t="e">
        <f>AND(#REF!,"AAAAAH7+12A=")</f>
        <v>#REF!</v>
      </c>
      <c r="CT43" t="e">
        <f>IF(#REF!,"AAAAAH7+12E=",0)</f>
        <v>#REF!</v>
      </c>
      <c r="CU43" t="e">
        <f>AND(#REF!,"AAAAAH7+12I=")</f>
        <v>#REF!</v>
      </c>
      <c r="CV43" t="e">
        <f>AND(#REF!,"AAAAAH7+12M=")</f>
        <v>#REF!</v>
      </c>
      <c r="CW43" t="e">
        <f>AND(#REF!,"AAAAAH7+12Q=")</f>
        <v>#REF!</v>
      </c>
      <c r="CX43" t="e">
        <f>AND(#REF!,"AAAAAH7+12U=")</f>
        <v>#REF!</v>
      </c>
      <c r="CY43" t="e">
        <f>AND(#REF!,"AAAAAH7+12Y=")</f>
        <v>#REF!</v>
      </c>
      <c r="CZ43" t="e">
        <f>AND(#REF!,"AAAAAH7+12c=")</f>
        <v>#REF!</v>
      </c>
      <c r="DA43" t="e">
        <f>AND(#REF!,"AAAAAH7+12g=")</f>
        <v>#REF!</v>
      </c>
      <c r="DB43" t="e">
        <f>AND(#REF!,"AAAAAH7+12k=")</f>
        <v>#REF!</v>
      </c>
      <c r="DC43" t="e">
        <f>AND(#REF!,"AAAAAH7+12o=")</f>
        <v>#REF!</v>
      </c>
      <c r="DD43" t="e">
        <f>AND(#REF!,"AAAAAH7+12s=")</f>
        <v>#REF!</v>
      </c>
      <c r="DE43" t="e">
        <f>AND(#REF!,"AAAAAH7+12w=")</f>
        <v>#REF!</v>
      </c>
      <c r="DF43" t="e">
        <f>AND(#REF!,"AAAAAH7+120=")</f>
        <v>#REF!</v>
      </c>
      <c r="DG43" t="e">
        <f>AND(#REF!,"AAAAAH7+124=")</f>
        <v>#REF!</v>
      </c>
      <c r="DH43" t="e">
        <f>AND(#REF!,"AAAAAH7+128=")</f>
        <v>#REF!</v>
      </c>
      <c r="DI43" t="e">
        <f>AND(#REF!,"AAAAAH7+13A=")</f>
        <v>#REF!</v>
      </c>
      <c r="DJ43" t="e">
        <f>IF(#REF!,"AAAAAH7+13E=",0)</f>
        <v>#REF!</v>
      </c>
      <c r="DK43" t="e">
        <f>AND(#REF!,"AAAAAH7+13I=")</f>
        <v>#REF!</v>
      </c>
      <c r="DL43" t="e">
        <f>AND(#REF!,"AAAAAH7+13M=")</f>
        <v>#REF!</v>
      </c>
      <c r="DM43" t="e">
        <f>AND(#REF!,"AAAAAH7+13Q=")</f>
        <v>#REF!</v>
      </c>
      <c r="DN43" t="e">
        <f>AND(#REF!,"AAAAAH7+13U=")</f>
        <v>#REF!</v>
      </c>
      <c r="DO43" t="e">
        <f>AND(#REF!,"AAAAAH7+13Y=")</f>
        <v>#REF!</v>
      </c>
      <c r="DP43" t="e">
        <f>AND(#REF!,"AAAAAH7+13c=")</f>
        <v>#REF!</v>
      </c>
      <c r="DQ43" t="e">
        <f>AND(#REF!,"AAAAAH7+13g=")</f>
        <v>#REF!</v>
      </c>
      <c r="DR43" t="e">
        <f>AND(#REF!,"AAAAAH7+13k=")</f>
        <v>#REF!</v>
      </c>
      <c r="DS43" t="e">
        <f>AND(#REF!,"AAAAAH7+13o=")</f>
        <v>#REF!</v>
      </c>
      <c r="DT43" t="e">
        <f>AND(#REF!,"AAAAAH7+13s=")</f>
        <v>#REF!</v>
      </c>
      <c r="DU43" t="e">
        <f>AND(#REF!,"AAAAAH7+13w=")</f>
        <v>#REF!</v>
      </c>
      <c r="DV43" t="e">
        <f>AND(#REF!,"AAAAAH7+130=")</f>
        <v>#REF!</v>
      </c>
      <c r="DW43" t="e">
        <f>AND(#REF!,"AAAAAH7+134=")</f>
        <v>#REF!</v>
      </c>
      <c r="DX43" t="e">
        <f>AND(#REF!,"AAAAAH7+138=")</f>
        <v>#REF!</v>
      </c>
      <c r="DY43" t="e">
        <f>AND(#REF!,"AAAAAH7+14A=")</f>
        <v>#REF!</v>
      </c>
      <c r="DZ43" t="e">
        <f>IF(#REF!,"AAAAAH7+14E=",0)</f>
        <v>#REF!</v>
      </c>
      <c r="EA43" t="e">
        <f>AND(#REF!,"AAAAAH7+14I=")</f>
        <v>#REF!</v>
      </c>
      <c r="EB43" t="e">
        <f>AND(#REF!,"AAAAAH7+14M=")</f>
        <v>#REF!</v>
      </c>
      <c r="EC43" t="e">
        <f>AND(#REF!,"AAAAAH7+14Q=")</f>
        <v>#REF!</v>
      </c>
      <c r="ED43" t="e">
        <f>AND(#REF!,"AAAAAH7+14U=")</f>
        <v>#REF!</v>
      </c>
      <c r="EE43" t="e">
        <f>AND(#REF!,"AAAAAH7+14Y=")</f>
        <v>#REF!</v>
      </c>
      <c r="EF43" t="e">
        <f>AND(#REF!,"AAAAAH7+14c=")</f>
        <v>#REF!</v>
      </c>
      <c r="EG43" t="e">
        <f>AND(#REF!,"AAAAAH7+14g=")</f>
        <v>#REF!</v>
      </c>
      <c r="EH43" t="e">
        <f>AND(#REF!,"AAAAAH7+14k=")</f>
        <v>#REF!</v>
      </c>
      <c r="EI43" t="e">
        <f>AND(#REF!,"AAAAAH7+14o=")</f>
        <v>#REF!</v>
      </c>
      <c r="EJ43" t="e">
        <f>AND(#REF!,"AAAAAH7+14s=")</f>
        <v>#REF!</v>
      </c>
      <c r="EK43" t="e">
        <f>AND(#REF!,"AAAAAH7+14w=")</f>
        <v>#REF!</v>
      </c>
      <c r="EL43" t="e">
        <f>AND(#REF!,"AAAAAH7+140=")</f>
        <v>#REF!</v>
      </c>
      <c r="EM43" t="e">
        <f>AND(#REF!,"AAAAAH7+144=")</f>
        <v>#REF!</v>
      </c>
      <c r="EN43" t="e">
        <f>AND(#REF!,"AAAAAH7+148=")</f>
        <v>#REF!</v>
      </c>
      <c r="EO43" t="e">
        <f>AND(#REF!,"AAAAAH7+15A=")</f>
        <v>#REF!</v>
      </c>
      <c r="EP43" t="e">
        <f>IF(#REF!,"AAAAAH7+15E=",0)</f>
        <v>#REF!</v>
      </c>
      <c r="EQ43" t="e">
        <f>AND(#REF!,"AAAAAH7+15I=")</f>
        <v>#REF!</v>
      </c>
      <c r="ER43" t="e">
        <f>AND(#REF!,"AAAAAH7+15M=")</f>
        <v>#REF!</v>
      </c>
      <c r="ES43" t="e">
        <f>AND(#REF!,"AAAAAH7+15Q=")</f>
        <v>#REF!</v>
      </c>
      <c r="ET43" t="e">
        <f>AND(#REF!,"AAAAAH7+15U=")</f>
        <v>#REF!</v>
      </c>
      <c r="EU43" t="e">
        <f>AND(#REF!,"AAAAAH7+15Y=")</f>
        <v>#REF!</v>
      </c>
      <c r="EV43" t="e">
        <f>AND(#REF!,"AAAAAH7+15c=")</f>
        <v>#REF!</v>
      </c>
      <c r="EW43" t="e">
        <f>AND(#REF!,"AAAAAH7+15g=")</f>
        <v>#REF!</v>
      </c>
      <c r="EX43" t="e">
        <f>AND(#REF!,"AAAAAH7+15k=")</f>
        <v>#REF!</v>
      </c>
      <c r="EY43" t="e">
        <f>AND(#REF!,"AAAAAH7+15o=")</f>
        <v>#REF!</v>
      </c>
      <c r="EZ43" t="e">
        <f>AND(#REF!,"AAAAAH7+15s=")</f>
        <v>#REF!</v>
      </c>
      <c r="FA43" t="e">
        <f>AND(#REF!,"AAAAAH7+15w=")</f>
        <v>#REF!</v>
      </c>
      <c r="FB43" t="e">
        <f>AND(#REF!,"AAAAAH7+150=")</f>
        <v>#REF!</v>
      </c>
      <c r="FC43" t="e">
        <f>AND(#REF!,"AAAAAH7+154=")</f>
        <v>#REF!</v>
      </c>
      <c r="FD43" t="e">
        <f>AND(#REF!,"AAAAAH7+158=")</f>
        <v>#REF!</v>
      </c>
      <c r="FE43" t="e">
        <f>AND(#REF!,"AAAAAH7+16A=")</f>
        <v>#REF!</v>
      </c>
      <c r="FF43" t="e">
        <f>IF(#REF!,"AAAAAH7+16E=",0)</f>
        <v>#REF!</v>
      </c>
      <c r="FG43" t="e">
        <f>AND(#REF!,"AAAAAH7+16I=")</f>
        <v>#REF!</v>
      </c>
      <c r="FH43" t="e">
        <f>AND(#REF!,"AAAAAH7+16M=")</f>
        <v>#REF!</v>
      </c>
      <c r="FI43" t="e">
        <f>AND(#REF!,"AAAAAH7+16Q=")</f>
        <v>#REF!</v>
      </c>
      <c r="FJ43" t="e">
        <f>AND(#REF!,"AAAAAH7+16U=")</f>
        <v>#REF!</v>
      </c>
      <c r="FK43" t="e">
        <f>AND(#REF!,"AAAAAH7+16Y=")</f>
        <v>#REF!</v>
      </c>
      <c r="FL43" t="e">
        <f>AND(#REF!,"AAAAAH7+16c=")</f>
        <v>#REF!</v>
      </c>
      <c r="FM43" t="e">
        <f>AND(#REF!,"AAAAAH7+16g=")</f>
        <v>#REF!</v>
      </c>
      <c r="FN43" t="e">
        <f>AND(#REF!,"AAAAAH7+16k=")</f>
        <v>#REF!</v>
      </c>
      <c r="FO43" t="e">
        <f>AND(#REF!,"AAAAAH7+16o=")</f>
        <v>#REF!</v>
      </c>
      <c r="FP43" t="e">
        <f>AND(#REF!,"AAAAAH7+16s=")</f>
        <v>#REF!</v>
      </c>
      <c r="FQ43" t="e">
        <f>AND(#REF!,"AAAAAH7+16w=")</f>
        <v>#REF!</v>
      </c>
      <c r="FR43" t="e">
        <f>AND(#REF!,"AAAAAH7+160=")</f>
        <v>#REF!</v>
      </c>
      <c r="FS43" t="e">
        <f>AND(#REF!,"AAAAAH7+164=")</f>
        <v>#REF!</v>
      </c>
      <c r="FT43" t="e">
        <f>AND(#REF!,"AAAAAH7+168=")</f>
        <v>#REF!</v>
      </c>
      <c r="FU43" t="e">
        <f>AND(#REF!,"AAAAAH7+17A=")</f>
        <v>#REF!</v>
      </c>
      <c r="FV43" t="e">
        <f>IF(#REF!,"AAAAAH7+17E=",0)</f>
        <v>#REF!</v>
      </c>
      <c r="FW43" t="e">
        <f>AND(#REF!,"AAAAAH7+17I=")</f>
        <v>#REF!</v>
      </c>
      <c r="FX43" t="e">
        <f>AND(#REF!,"AAAAAH7+17M=")</f>
        <v>#REF!</v>
      </c>
      <c r="FY43" t="e">
        <f>AND(#REF!,"AAAAAH7+17Q=")</f>
        <v>#REF!</v>
      </c>
      <c r="FZ43" t="e">
        <f>AND(#REF!,"AAAAAH7+17U=")</f>
        <v>#REF!</v>
      </c>
      <c r="GA43" t="e">
        <f>AND(#REF!,"AAAAAH7+17Y=")</f>
        <v>#REF!</v>
      </c>
      <c r="GB43" t="e">
        <f>AND(#REF!,"AAAAAH7+17c=")</f>
        <v>#REF!</v>
      </c>
      <c r="GC43" t="e">
        <f>AND(#REF!,"AAAAAH7+17g=")</f>
        <v>#REF!</v>
      </c>
      <c r="GD43" t="e">
        <f>AND(#REF!,"AAAAAH7+17k=")</f>
        <v>#REF!</v>
      </c>
      <c r="GE43" t="e">
        <f>AND(#REF!,"AAAAAH7+17o=")</f>
        <v>#REF!</v>
      </c>
      <c r="GF43" t="e">
        <f>AND(#REF!,"AAAAAH7+17s=")</f>
        <v>#REF!</v>
      </c>
      <c r="GG43" t="e">
        <f>AND(#REF!,"AAAAAH7+17w=")</f>
        <v>#REF!</v>
      </c>
      <c r="GH43" t="e">
        <f>AND(#REF!,"AAAAAH7+170=")</f>
        <v>#REF!</v>
      </c>
      <c r="GI43" t="e">
        <f>AND(#REF!,"AAAAAH7+174=")</f>
        <v>#REF!</v>
      </c>
      <c r="GJ43" t="e">
        <f>AND(#REF!,"AAAAAH7+178=")</f>
        <v>#REF!</v>
      </c>
      <c r="GK43" t="e">
        <f>AND(#REF!,"AAAAAH7+18A=")</f>
        <v>#REF!</v>
      </c>
      <c r="GL43" t="e">
        <f>IF(#REF!,"AAAAAH7+18E=",0)</f>
        <v>#REF!</v>
      </c>
      <c r="GM43" t="e">
        <f>AND(#REF!,"AAAAAH7+18I=")</f>
        <v>#REF!</v>
      </c>
      <c r="GN43" t="e">
        <f>AND(#REF!,"AAAAAH7+18M=")</f>
        <v>#REF!</v>
      </c>
      <c r="GO43" t="e">
        <f>AND(#REF!,"AAAAAH7+18Q=")</f>
        <v>#REF!</v>
      </c>
      <c r="GP43" t="e">
        <f>AND(#REF!,"AAAAAH7+18U=")</f>
        <v>#REF!</v>
      </c>
      <c r="GQ43" t="e">
        <f>AND(#REF!,"AAAAAH7+18Y=")</f>
        <v>#REF!</v>
      </c>
      <c r="GR43" t="e">
        <f>AND(#REF!,"AAAAAH7+18c=")</f>
        <v>#REF!</v>
      </c>
      <c r="GS43" t="e">
        <f>AND(#REF!,"AAAAAH7+18g=")</f>
        <v>#REF!</v>
      </c>
      <c r="GT43" t="e">
        <f>AND(#REF!,"AAAAAH7+18k=")</f>
        <v>#REF!</v>
      </c>
      <c r="GU43" t="e">
        <f>AND(#REF!,"AAAAAH7+18o=")</f>
        <v>#REF!</v>
      </c>
      <c r="GV43" t="e">
        <f>AND(#REF!,"AAAAAH7+18s=")</f>
        <v>#REF!</v>
      </c>
      <c r="GW43" t="e">
        <f>AND(#REF!,"AAAAAH7+18w=")</f>
        <v>#REF!</v>
      </c>
      <c r="GX43" t="e">
        <f>AND(#REF!,"AAAAAH7+180=")</f>
        <v>#REF!</v>
      </c>
      <c r="GY43" t="e">
        <f>AND(#REF!,"AAAAAH7+184=")</f>
        <v>#REF!</v>
      </c>
      <c r="GZ43" t="e">
        <f>AND(#REF!,"AAAAAH7+188=")</f>
        <v>#REF!</v>
      </c>
      <c r="HA43" t="e">
        <f>AND(#REF!,"AAAAAH7+19A=")</f>
        <v>#REF!</v>
      </c>
      <c r="HB43" t="e">
        <f>IF(#REF!,"AAAAAH7+19E=",0)</f>
        <v>#REF!</v>
      </c>
      <c r="HC43" t="e">
        <f>AND(#REF!,"AAAAAH7+19I=")</f>
        <v>#REF!</v>
      </c>
      <c r="HD43" t="e">
        <f>AND(#REF!,"AAAAAH7+19M=")</f>
        <v>#REF!</v>
      </c>
      <c r="HE43" t="e">
        <f>AND(#REF!,"AAAAAH7+19Q=")</f>
        <v>#REF!</v>
      </c>
      <c r="HF43" t="e">
        <f>AND(#REF!,"AAAAAH7+19U=")</f>
        <v>#REF!</v>
      </c>
      <c r="HG43" t="e">
        <f>AND(#REF!,"AAAAAH7+19Y=")</f>
        <v>#REF!</v>
      </c>
      <c r="HH43" t="e">
        <f>AND(#REF!,"AAAAAH7+19c=")</f>
        <v>#REF!</v>
      </c>
      <c r="HI43" t="e">
        <f>AND(#REF!,"AAAAAH7+19g=")</f>
        <v>#REF!</v>
      </c>
      <c r="HJ43" t="e">
        <f>AND(#REF!,"AAAAAH7+19k=")</f>
        <v>#REF!</v>
      </c>
      <c r="HK43" t="e">
        <f>AND(#REF!,"AAAAAH7+19o=")</f>
        <v>#REF!</v>
      </c>
      <c r="HL43" t="e">
        <f>AND(#REF!,"AAAAAH7+19s=")</f>
        <v>#REF!</v>
      </c>
      <c r="HM43" t="e">
        <f>AND(#REF!,"AAAAAH7+19w=")</f>
        <v>#REF!</v>
      </c>
      <c r="HN43" t="e">
        <f>AND(#REF!,"AAAAAH7+190=")</f>
        <v>#REF!</v>
      </c>
      <c r="HO43" t="e">
        <f>AND(#REF!,"AAAAAH7+194=")</f>
        <v>#REF!</v>
      </c>
      <c r="HP43" t="e">
        <f>AND(#REF!,"AAAAAH7+198=")</f>
        <v>#REF!</v>
      </c>
      <c r="HQ43" t="e">
        <f>AND(#REF!,"AAAAAH7+1+A=")</f>
        <v>#REF!</v>
      </c>
      <c r="HR43" t="e">
        <f>IF(#REF!,"AAAAAH7+1+E=",0)</f>
        <v>#REF!</v>
      </c>
      <c r="HS43" t="e">
        <f>AND(#REF!,"AAAAAH7+1+I=")</f>
        <v>#REF!</v>
      </c>
      <c r="HT43" t="e">
        <f>AND(#REF!,"AAAAAH7+1+M=")</f>
        <v>#REF!</v>
      </c>
      <c r="HU43" t="e">
        <f>AND(#REF!,"AAAAAH7+1+Q=")</f>
        <v>#REF!</v>
      </c>
      <c r="HV43" t="e">
        <f>AND(#REF!,"AAAAAH7+1+U=")</f>
        <v>#REF!</v>
      </c>
      <c r="HW43" t="e">
        <f>AND(#REF!,"AAAAAH7+1+Y=")</f>
        <v>#REF!</v>
      </c>
      <c r="HX43" t="e">
        <f>AND(#REF!,"AAAAAH7+1+c=")</f>
        <v>#REF!</v>
      </c>
      <c r="HY43" t="e">
        <f>AND(#REF!,"AAAAAH7+1+g=")</f>
        <v>#REF!</v>
      </c>
      <c r="HZ43" t="e">
        <f>AND(#REF!,"AAAAAH7+1+k=")</f>
        <v>#REF!</v>
      </c>
      <c r="IA43" t="e">
        <f>AND(#REF!,"AAAAAH7+1+o=")</f>
        <v>#REF!</v>
      </c>
      <c r="IB43" t="e">
        <f>AND(#REF!,"AAAAAH7+1+s=")</f>
        <v>#REF!</v>
      </c>
      <c r="IC43" t="e">
        <f>AND(#REF!,"AAAAAH7+1+w=")</f>
        <v>#REF!</v>
      </c>
      <c r="ID43" t="e">
        <f>AND(#REF!,"AAAAAH7+1+0=")</f>
        <v>#REF!</v>
      </c>
      <c r="IE43" t="e">
        <f>AND(#REF!,"AAAAAH7+1+4=")</f>
        <v>#REF!</v>
      </c>
      <c r="IF43" t="e">
        <f>AND(#REF!,"AAAAAH7+1+8=")</f>
        <v>#REF!</v>
      </c>
      <c r="IG43" t="e">
        <f>AND(#REF!,"AAAAAH7+1/A=")</f>
        <v>#REF!</v>
      </c>
      <c r="IH43" t="e">
        <f>IF(#REF!,"AAAAAH7+1/E=",0)</f>
        <v>#REF!</v>
      </c>
      <c r="II43" t="e">
        <f>AND(#REF!,"AAAAAH7+1/I=")</f>
        <v>#REF!</v>
      </c>
      <c r="IJ43" t="e">
        <f>AND(#REF!,"AAAAAH7+1/M=")</f>
        <v>#REF!</v>
      </c>
      <c r="IK43" t="e">
        <f>AND(#REF!,"AAAAAH7+1/Q=")</f>
        <v>#REF!</v>
      </c>
      <c r="IL43" t="e">
        <f>AND(#REF!,"AAAAAH7+1/U=")</f>
        <v>#REF!</v>
      </c>
      <c r="IM43" t="e">
        <f>AND(#REF!,"AAAAAH7+1/Y=")</f>
        <v>#REF!</v>
      </c>
      <c r="IN43" t="e">
        <f>AND(#REF!,"AAAAAH7+1/c=")</f>
        <v>#REF!</v>
      </c>
      <c r="IO43" t="e">
        <f>AND(#REF!,"AAAAAH7+1/g=")</f>
        <v>#REF!</v>
      </c>
      <c r="IP43" t="e">
        <f>AND(#REF!,"AAAAAH7+1/k=")</f>
        <v>#REF!</v>
      </c>
      <c r="IQ43" t="e">
        <f>AND(#REF!,"AAAAAH7+1/o=")</f>
        <v>#REF!</v>
      </c>
      <c r="IR43" t="e">
        <f>AND(#REF!,"AAAAAH7+1/s=")</f>
        <v>#REF!</v>
      </c>
      <c r="IS43" t="e">
        <f>AND(#REF!,"AAAAAH7+1/w=")</f>
        <v>#REF!</v>
      </c>
      <c r="IT43" t="e">
        <f>AND(#REF!,"AAAAAH7+1/0=")</f>
        <v>#REF!</v>
      </c>
      <c r="IU43" t="e">
        <f>AND(#REF!,"AAAAAH7+1/4=")</f>
        <v>#REF!</v>
      </c>
      <c r="IV43" t="e">
        <f>AND(#REF!,"AAAAAH7+1/8=")</f>
        <v>#REF!</v>
      </c>
    </row>
    <row r="44" spans="1:256">
      <c r="A44" t="e">
        <f>AND(#REF!,"AAAAAA/d9gA=")</f>
        <v>#REF!</v>
      </c>
      <c r="B44" t="e">
        <f>IF(#REF!,"AAAAAA/d9gE=",0)</f>
        <v>#REF!</v>
      </c>
      <c r="C44" t="e">
        <f>AND(#REF!,"AAAAAA/d9gI=")</f>
        <v>#REF!</v>
      </c>
      <c r="D44" t="e">
        <f>AND(#REF!,"AAAAAA/d9gM=")</f>
        <v>#REF!</v>
      </c>
      <c r="E44" t="e">
        <f>AND(#REF!,"AAAAAA/d9gQ=")</f>
        <v>#REF!</v>
      </c>
      <c r="F44" t="e">
        <f>AND(#REF!,"AAAAAA/d9gU=")</f>
        <v>#REF!</v>
      </c>
      <c r="G44" t="e">
        <f>AND(#REF!,"AAAAAA/d9gY=")</f>
        <v>#REF!</v>
      </c>
      <c r="H44" t="e">
        <f>AND(#REF!,"AAAAAA/d9gc=")</f>
        <v>#REF!</v>
      </c>
      <c r="I44" t="e">
        <f>AND(#REF!,"AAAAAA/d9gg=")</f>
        <v>#REF!</v>
      </c>
      <c r="J44" t="e">
        <f>AND(#REF!,"AAAAAA/d9gk=")</f>
        <v>#REF!</v>
      </c>
      <c r="K44" t="e">
        <f>AND(#REF!,"AAAAAA/d9go=")</f>
        <v>#REF!</v>
      </c>
      <c r="L44" t="e">
        <f>AND(#REF!,"AAAAAA/d9gs=")</f>
        <v>#REF!</v>
      </c>
      <c r="M44" t="e">
        <f>AND(#REF!,"AAAAAA/d9gw=")</f>
        <v>#REF!</v>
      </c>
      <c r="N44" t="e">
        <f>AND(#REF!,"AAAAAA/d9g0=")</f>
        <v>#REF!</v>
      </c>
      <c r="O44" t="e">
        <f>AND(#REF!,"AAAAAA/d9g4=")</f>
        <v>#REF!</v>
      </c>
      <c r="P44" t="e">
        <f>AND(#REF!,"AAAAAA/d9g8=")</f>
        <v>#REF!</v>
      </c>
      <c r="Q44" t="e">
        <f>AND(#REF!,"AAAAAA/d9hA=")</f>
        <v>#REF!</v>
      </c>
      <c r="R44" t="e">
        <f>IF(#REF!,"AAAAAA/d9hE=",0)</f>
        <v>#REF!</v>
      </c>
      <c r="S44" t="e">
        <f>AND(#REF!,"AAAAAA/d9hI=")</f>
        <v>#REF!</v>
      </c>
      <c r="T44" t="e">
        <f>AND(#REF!,"AAAAAA/d9hM=")</f>
        <v>#REF!</v>
      </c>
      <c r="U44" t="e">
        <f>AND(#REF!,"AAAAAA/d9hQ=")</f>
        <v>#REF!</v>
      </c>
      <c r="V44" t="e">
        <f>AND(#REF!,"AAAAAA/d9hU=")</f>
        <v>#REF!</v>
      </c>
      <c r="W44" t="e">
        <f>AND(#REF!,"AAAAAA/d9hY=")</f>
        <v>#REF!</v>
      </c>
      <c r="X44" t="e">
        <f>AND(#REF!,"AAAAAA/d9hc=")</f>
        <v>#REF!</v>
      </c>
      <c r="Y44" t="e">
        <f>AND(#REF!,"AAAAAA/d9hg=")</f>
        <v>#REF!</v>
      </c>
      <c r="Z44" t="e">
        <f>AND(#REF!,"AAAAAA/d9hk=")</f>
        <v>#REF!</v>
      </c>
      <c r="AA44" t="e">
        <f>AND(#REF!,"AAAAAA/d9ho=")</f>
        <v>#REF!</v>
      </c>
      <c r="AB44" t="e">
        <f>AND(#REF!,"AAAAAA/d9hs=")</f>
        <v>#REF!</v>
      </c>
      <c r="AC44" t="e">
        <f>AND(#REF!,"AAAAAA/d9hw=")</f>
        <v>#REF!</v>
      </c>
      <c r="AD44" t="e">
        <f>AND(#REF!,"AAAAAA/d9h0=")</f>
        <v>#REF!</v>
      </c>
      <c r="AE44" t="e">
        <f>AND(#REF!,"AAAAAA/d9h4=")</f>
        <v>#REF!</v>
      </c>
      <c r="AF44" t="e">
        <f>AND(#REF!,"AAAAAA/d9h8=")</f>
        <v>#REF!</v>
      </c>
      <c r="AG44" t="e">
        <f>AND(#REF!,"AAAAAA/d9iA=")</f>
        <v>#REF!</v>
      </c>
      <c r="AH44" t="e">
        <f>IF(#REF!,"AAAAAA/d9iE=",0)</f>
        <v>#REF!</v>
      </c>
      <c r="AI44" t="e">
        <f>AND(#REF!,"AAAAAA/d9iI=")</f>
        <v>#REF!</v>
      </c>
      <c r="AJ44" t="e">
        <f>AND(#REF!,"AAAAAA/d9iM=")</f>
        <v>#REF!</v>
      </c>
      <c r="AK44" t="e">
        <f>AND(#REF!,"AAAAAA/d9iQ=")</f>
        <v>#REF!</v>
      </c>
      <c r="AL44" t="e">
        <f>AND(#REF!,"AAAAAA/d9iU=")</f>
        <v>#REF!</v>
      </c>
      <c r="AM44" t="e">
        <f>AND(#REF!,"AAAAAA/d9iY=")</f>
        <v>#REF!</v>
      </c>
      <c r="AN44" t="e">
        <f>AND(#REF!,"AAAAAA/d9ic=")</f>
        <v>#REF!</v>
      </c>
      <c r="AO44" t="e">
        <f>AND(#REF!,"AAAAAA/d9ig=")</f>
        <v>#REF!</v>
      </c>
      <c r="AP44" t="e">
        <f>AND(#REF!,"AAAAAA/d9ik=")</f>
        <v>#REF!</v>
      </c>
      <c r="AQ44" t="e">
        <f>AND(#REF!,"AAAAAA/d9io=")</f>
        <v>#REF!</v>
      </c>
      <c r="AR44" t="e">
        <f>AND(#REF!,"AAAAAA/d9is=")</f>
        <v>#REF!</v>
      </c>
      <c r="AS44" t="e">
        <f>AND(#REF!,"AAAAAA/d9iw=")</f>
        <v>#REF!</v>
      </c>
      <c r="AT44" t="e">
        <f>AND(#REF!,"AAAAAA/d9i0=")</f>
        <v>#REF!</v>
      </c>
      <c r="AU44" t="e">
        <f>AND(#REF!,"AAAAAA/d9i4=")</f>
        <v>#REF!</v>
      </c>
      <c r="AV44" t="e">
        <f>AND(#REF!,"AAAAAA/d9i8=")</f>
        <v>#REF!</v>
      </c>
      <c r="AW44" t="e">
        <f>AND(#REF!,"AAAAAA/d9jA=")</f>
        <v>#REF!</v>
      </c>
      <c r="AX44" t="e">
        <f>IF(#REF!,"AAAAAA/d9jE=",0)</f>
        <v>#REF!</v>
      </c>
      <c r="AY44" t="e">
        <f>AND(#REF!,"AAAAAA/d9jI=")</f>
        <v>#REF!</v>
      </c>
      <c r="AZ44" t="e">
        <f>AND(#REF!,"AAAAAA/d9jM=")</f>
        <v>#REF!</v>
      </c>
      <c r="BA44" t="e">
        <f>AND(#REF!,"AAAAAA/d9jQ=")</f>
        <v>#REF!</v>
      </c>
      <c r="BB44" t="e">
        <f>AND(#REF!,"AAAAAA/d9jU=")</f>
        <v>#REF!</v>
      </c>
      <c r="BC44" t="e">
        <f>AND(#REF!,"AAAAAA/d9jY=")</f>
        <v>#REF!</v>
      </c>
      <c r="BD44" t="e">
        <f>AND(#REF!,"AAAAAA/d9jc=")</f>
        <v>#REF!</v>
      </c>
      <c r="BE44" t="e">
        <f>AND(#REF!,"AAAAAA/d9jg=")</f>
        <v>#REF!</v>
      </c>
      <c r="BF44" t="e">
        <f>AND(#REF!,"AAAAAA/d9jk=")</f>
        <v>#REF!</v>
      </c>
      <c r="BG44" t="e">
        <f>AND(#REF!,"AAAAAA/d9jo=")</f>
        <v>#REF!</v>
      </c>
      <c r="BH44" t="e">
        <f>AND(#REF!,"AAAAAA/d9js=")</f>
        <v>#REF!</v>
      </c>
      <c r="BI44" t="e">
        <f>AND(#REF!,"AAAAAA/d9jw=")</f>
        <v>#REF!</v>
      </c>
      <c r="BJ44" t="e">
        <f>AND(#REF!,"AAAAAA/d9j0=")</f>
        <v>#REF!</v>
      </c>
      <c r="BK44" t="e">
        <f>AND(#REF!,"AAAAAA/d9j4=")</f>
        <v>#REF!</v>
      </c>
      <c r="BL44" t="e">
        <f>AND(#REF!,"AAAAAA/d9j8=")</f>
        <v>#REF!</v>
      </c>
      <c r="BM44" t="e">
        <f>AND(#REF!,"AAAAAA/d9kA=")</f>
        <v>#REF!</v>
      </c>
      <c r="BN44" t="e">
        <f>IF(#REF!,"AAAAAA/d9kE=",0)</f>
        <v>#REF!</v>
      </c>
      <c r="BO44" t="e">
        <f>AND(#REF!,"AAAAAA/d9kI=")</f>
        <v>#REF!</v>
      </c>
      <c r="BP44" t="e">
        <f>AND(#REF!,"AAAAAA/d9kM=")</f>
        <v>#REF!</v>
      </c>
      <c r="BQ44" t="e">
        <f>AND(#REF!,"AAAAAA/d9kQ=")</f>
        <v>#REF!</v>
      </c>
      <c r="BR44" t="e">
        <f>AND(#REF!,"AAAAAA/d9kU=")</f>
        <v>#REF!</v>
      </c>
      <c r="BS44" t="e">
        <f>AND(#REF!,"AAAAAA/d9kY=")</f>
        <v>#REF!</v>
      </c>
      <c r="BT44" t="e">
        <f>AND(#REF!,"AAAAAA/d9kc=")</f>
        <v>#REF!</v>
      </c>
      <c r="BU44" t="e">
        <f>AND(#REF!,"AAAAAA/d9kg=")</f>
        <v>#REF!</v>
      </c>
      <c r="BV44" t="e">
        <f>AND(#REF!,"AAAAAA/d9kk=")</f>
        <v>#REF!</v>
      </c>
      <c r="BW44" t="e">
        <f>AND(#REF!,"AAAAAA/d9ko=")</f>
        <v>#REF!</v>
      </c>
      <c r="BX44" t="e">
        <f>AND(#REF!,"AAAAAA/d9ks=")</f>
        <v>#REF!</v>
      </c>
      <c r="BY44" t="e">
        <f>AND(#REF!,"AAAAAA/d9kw=")</f>
        <v>#REF!</v>
      </c>
      <c r="BZ44" t="e">
        <f>AND(#REF!,"AAAAAA/d9k0=")</f>
        <v>#REF!</v>
      </c>
      <c r="CA44" t="e">
        <f>AND(#REF!,"AAAAAA/d9k4=")</f>
        <v>#REF!</v>
      </c>
      <c r="CB44" t="e">
        <f>AND(#REF!,"AAAAAA/d9k8=")</f>
        <v>#REF!</v>
      </c>
      <c r="CC44" t="e">
        <f>AND(#REF!,"AAAAAA/d9lA=")</f>
        <v>#REF!</v>
      </c>
      <c r="CD44" t="e">
        <f>IF(#REF!,"AAAAAA/d9lE=",0)</f>
        <v>#REF!</v>
      </c>
      <c r="CE44" t="e">
        <f>IF(#REF!,"AAAAAA/d9lI=",0)</f>
        <v>#REF!</v>
      </c>
      <c r="CF44" t="e">
        <f>IF(#REF!,"AAAAAA/d9lM=",0)</f>
        <v>#REF!</v>
      </c>
      <c r="CG44" t="e">
        <f>IF(#REF!,"AAAAAA/d9lQ=",0)</f>
        <v>#REF!</v>
      </c>
      <c r="CH44" t="e">
        <f>IF(#REF!,"AAAAAA/d9lU=",0)</f>
        <v>#REF!</v>
      </c>
      <c r="CI44" t="e">
        <f>IF(#REF!,"AAAAAA/d9lY=",0)</f>
        <v>#REF!</v>
      </c>
      <c r="CJ44" t="e">
        <f>IF(#REF!,"AAAAAA/d9lc=",0)</f>
        <v>#REF!</v>
      </c>
      <c r="CK44" t="e">
        <f>IF(#REF!,"AAAAAA/d9lg=",0)</f>
        <v>#REF!</v>
      </c>
      <c r="CL44" t="e">
        <f>IF(#REF!,"AAAAAA/d9lk=",0)</f>
        <v>#REF!</v>
      </c>
      <c r="CM44" t="e">
        <f>IF(#REF!,"AAAAAA/d9lo=",0)</f>
        <v>#REF!</v>
      </c>
      <c r="CN44" t="e">
        <f>IF(#REF!,"AAAAAA/d9ls=",0)</f>
        <v>#REF!</v>
      </c>
      <c r="CO44" t="e">
        <f>IF(#REF!,"AAAAAA/d9lw=",0)</f>
        <v>#REF!</v>
      </c>
      <c r="CP44" t="e">
        <f>IF(#REF!,"AAAAAA/d9l0=",0)</f>
        <v>#REF!</v>
      </c>
      <c r="CQ44" t="e">
        <f>IF(#REF!,"AAAAAA/d9l4=",0)</f>
        <v>#REF!</v>
      </c>
      <c r="CR44" t="e">
        <f>IF(#REF!,"AAAAAA/d9l8=",0)</f>
        <v>#REF!</v>
      </c>
      <c r="CS44" t="e">
        <f>IF(#REF!,"AAAAAA/d9mA=",0)</f>
        <v>#REF!</v>
      </c>
      <c r="CT44">
        <f>IF(Calculations!1:1,"AAAAAA/d9mE=",0)</f>
        <v>0</v>
      </c>
      <c r="CU44" t="e">
        <f>AND(Calculations!A1,"AAAAAA/d9mI=")</f>
        <v>#VALUE!</v>
      </c>
      <c r="CV44" t="e">
        <f>AND(Calculations!B1,"AAAAAA/d9mM=")</f>
        <v>#VALUE!</v>
      </c>
      <c r="CW44" t="e">
        <f>AND(Calculations!C1,"AAAAAA/d9mQ=")</f>
        <v>#VALUE!</v>
      </c>
      <c r="CX44" t="e">
        <f>AND(Calculations!D1,"AAAAAA/d9mU=")</f>
        <v>#VALUE!</v>
      </c>
      <c r="CY44" t="e">
        <f>AND(Calculations!E1,"AAAAAA/d9mY=")</f>
        <v>#VALUE!</v>
      </c>
      <c r="CZ44" t="e">
        <f>AND(Calculations!F1,"AAAAAA/d9mc=")</f>
        <v>#VALUE!</v>
      </c>
      <c r="DA44" t="e">
        <f>AND(Calculations!G1,"AAAAAA/d9mg=")</f>
        <v>#VALUE!</v>
      </c>
      <c r="DB44" t="e">
        <f>AND(Calculations!H1,"AAAAAA/d9mk=")</f>
        <v>#VALUE!</v>
      </c>
      <c r="DC44" t="e">
        <f>AND(Calculations!I1,"AAAAAA/d9mo=")</f>
        <v>#VALUE!</v>
      </c>
      <c r="DD44" t="e">
        <f>AND(Calculations!J1,"AAAAAA/d9ms=")</f>
        <v>#VALUE!</v>
      </c>
      <c r="DE44" t="e">
        <f>AND(Calculations!K1,"AAAAAA/d9mw=")</f>
        <v>#VALUE!</v>
      </c>
      <c r="DF44" t="e">
        <f>AND(Calculations!L1,"AAAAAA/d9m0=")</f>
        <v>#VALUE!</v>
      </c>
      <c r="DG44" t="e">
        <f>AND(Calculations!M1,"AAAAAA/d9m4=")</f>
        <v>#VALUE!</v>
      </c>
      <c r="DH44" t="e">
        <f>AND(Calculations!N1,"AAAAAA/d9m8=")</f>
        <v>#VALUE!</v>
      </c>
      <c r="DI44" t="e">
        <f>AND(Calculations!O1,"AAAAAA/d9nA=")</f>
        <v>#VALUE!</v>
      </c>
      <c r="DJ44" t="e">
        <f>AND(Calculations!P1,"AAAAAA/d9nE=")</f>
        <v>#VALUE!</v>
      </c>
      <c r="DK44" t="e">
        <f>AND(Calculations!Q1,"AAAAAA/d9nI=")</f>
        <v>#VALUE!</v>
      </c>
      <c r="DL44" t="e">
        <f>AND(Calculations!R1,"AAAAAA/d9nM=")</f>
        <v>#VALUE!</v>
      </c>
      <c r="DM44" t="e">
        <f>AND(Calculations!S1,"AAAAAA/d9nQ=")</f>
        <v>#VALUE!</v>
      </c>
      <c r="DN44" t="e">
        <f>AND(Calculations!T1,"AAAAAA/d9nU=")</f>
        <v>#VALUE!</v>
      </c>
      <c r="DO44" t="e">
        <f>AND(Calculations!U1,"AAAAAA/d9nY=")</f>
        <v>#VALUE!</v>
      </c>
      <c r="DP44" t="e">
        <f>AND(Calculations!V1,"AAAAAA/d9nc=")</f>
        <v>#VALUE!</v>
      </c>
      <c r="DQ44" t="e">
        <f>AND(Calculations!W1,"AAAAAA/d9ng=")</f>
        <v>#VALUE!</v>
      </c>
      <c r="DR44" t="e">
        <f>AND(Calculations!X1,"AAAAAA/d9nk=")</f>
        <v>#VALUE!</v>
      </c>
      <c r="DS44" t="e">
        <f>AND(Calculations!Y1,"AAAAAA/d9no=")</f>
        <v>#VALUE!</v>
      </c>
      <c r="DT44">
        <f>IF(Calculations!2:2,"AAAAAA/d9ns=",0)</f>
        <v>0</v>
      </c>
      <c r="DU44" t="e">
        <f>AND(Calculations!A2,"AAAAAA/d9nw=")</f>
        <v>#VALUE!</v>
      </c>
      <c r="DV44" t="e">
        <f>AND(Calculations!B2,"AAAAAA/d9n0=")</f>
        <v>#VALUE!</v>
      </c>
      <c r="DW44" t="e">
        <f>AND(Calculations!C2,"AAAAAA/d9n4=")</f>
        <v>#VALUE!</v>
      </c>
      <c r="DX44" t="e">
        <f>AND(Calculations!D2,"AAAAAA/d9n8=")</f>
        <v>#VALUE!</v>
      </c>
      <c r="DY44" t="e">
        <f>AND(Calculations!E2,"AAAAAA/d9oA=")</f>
        <v>#VALUE!</v>
      </c>
      <c r="DZ44" t="e">
        <f>AND(Calculations!F2,"AAAAAA/d9oE=")</f>
        <v>#VALUE!</v>
      </c>
      <c r="EA44" t="e">
        <f>AND(Calculations!G2,"AAAAAA/d9oI=")</f>
        <v>#VALUE!</v>
      </c>
      <c r="EB44" t="e">
        <f>AND(Calculations!H2,"AAAAAA/d9oM=")</f>
        <v>#VALUE!</v>
      </c>
      <c r="EC44" t="e">
        <f>AND(Calculations!I2,"AAAAAA/d9oQ=")</f>
        <v>#VALUE!</v>
      </c>
      <c r="ED44" t="e">
        <f>AND(Calculations!J2,"AAAAAA/d9oU=")</f>
        <v>#VALUE!</v>
      </c>
      <c r="EE44" t="e">
        <f>AND(Calculations!K2,"AAAAAA/d9oY=")</f>
        <v>#VALUE!</v>
      </c>
      <c r="EF44" t="e">
        <f>AND(Calculations!L2,"AAAAAA/d9oc=")</f>
        <v>#VALUE!</v>
      </c>
      <c r="EG44" t="e">
        <f>AND(Calculations!M2,"AAAAAA/d9og=")</f>
        <v>#VALUE!</v>
      </c>
      <c r="EH44" t="e">
        <f>AND(Calculations!N2,"AAAAAA/d9ok=")</f>
        <v>#VALUE!</v>
      </c>
      <c r="EI44" t="e">
        <f>AND(Calculations!O2,"AAAAAA/d9oo=")</f>
        <v>#VALUE!</v>
      </c>
      <c r="EJ44" t="e">
        <f>AND(Calculations!P2,"AAAAAA/d9os=")</f>
        <v>#VALUE!</v>
      </c>
      <c r="EK44" t="e">
        <f>AND(Calculations!Q2,"AAAAAA/d9ow=")</f>
        <v>#VALUE!</v>
      </c>
      <c r="EL44" t="e">
        <f>AND(Calculations!R2,"AAAAAA/d9o0=")</f>
        <v>#VALUE!</v>
      </c>
      <c r="EM44" t="e">
        <f>AND(Calculations!S2,"AAAAAA/d9o4=")</f>
        <v>#VALUE!</v>
      </c>
      <c r="EN44" t="e">
        <f>AND(Calculations!T2,"AAAAAA/d9o8=")</f>
        <v>#VALUE!</v>
      </c>
      <c r="EO44" t="e">
        <f>AND(Calculations!U2,"AAAAAA/d9pA=")</f>
        <v>#VALUE!</v>
      </c>
      <c r="EP44" t="e">
        <f>AND(Calculations!V2,"AAAAAA/d9pE=")</f>
        <v>#VALUE!</v>
      </c>
      <c r="EQ44" t="e">
        <f>AND(Calculations!W2,"AAAAAA/d9pI=")</f>
        <v>#VALUE!</v>
      </c>
      <c r="ER44" t="e">
        <f>AND(Calculations!X2,"AAAAAA/d9pM=")</f>
        <v>#VALUE!</v>
      </c>
      <c r="ES44" t="e">
        <f>AND(Calculations!Y2,"AAAAAA/d9pQ=")</f>
        <v>#VALUE!</v>
      </c>
      <c r="ET44">
        <f>IF(Calculations!3:3,"AAAAAA/d9pU=",0)</f>
        <v>0</v>
      </c>
      <c r="EU44" t="e">
        <f>AND(Calculations!A3,"AAAAAA/d9pY=")</f>
        <v>#VALUE!</v>
      </c>
      <c r="EV44" t="e">
        <f>AND(Calculations!B3,"AAAAAA/d9pc=")</f>
        <v>#VALUE!</v>
      </c>
      <c r="EW44" t="e">
        <f>AND(Calculations!C3,"AAAAAA/d9pg=")</f>
        <v>#VALUE!</v>
      </c>
      <c r="EX44" t="e">
        <f>AND(Calculations!D3,"AAAAAA/d9pk=")</f>
        <v>#VALUE!</v>
      </c>
      <c r="EY44" t="e">
        <f>AND(Calculations!E3,"AAAAAA/d9po=")</f>
        <v>#VALUE!</v>
      </c>
      <c r="EZ44" t="e">
        <f>AND(Calculations!F3,"AAAAAA/d9ps=")</f>
        <v>#VALUE!</v>
      </c>
      <c r="FA44" t="e">
        <f>AND(Calculations!G3,"AAAAAA/d9pw=")</f>
        <v>#VALUE!</v>
      </c>
      <c r="FB44" t="e">
        <f>AND(Calculations!H3,"AAAAAA/d9p0=")</f>
        <v>#VALUE!</v>
      </c>
      <c r="FC44" t="e">
        <f>AND(Calculations!I3,"AAAAAA/d9p4=")</f>
        <v>#VALUE!</v>
      </c>
      <c r="FD44" t="e">
        <f>AND(Calculations!J3,"AAAAAA/d9p8=")</f>
        <v>#VALUE!</v>
      </c>
      <c r="FE44" t="e">
        <f>AND(Calculations!K3,"AAAAAA/d9qA=")</f>
        <v>#VALUE!</v>
      </c>
      <c r="FF44" t="e">
        <f>AND(Calculations!L3,"AAAAAA/d9qE=")</f>
        <v>#VALUE!</v>
      </c>
      <c r="FG44" t="e">
        <f>AND(Calculations!M3,"AAAAAA/d9qI=")</f>
        <v>#VALUE!</v>
      </c>
      <c r="FH44" t="e">
        <f>AND(Calculations!N3,"AAAAAA/d9qM=")</f>
        <v>#VALUE!</v>
      </c>
      <c r="FI44" t="e">
        <f>AND(Calculations!O3,"AAAAAA/d9qQ=")</f>
        <v>#VALUE!</v>
      </c>
      <c r="FJ44" t="e">
        <f>AND(Calculations!P3,"AAAAAA/d9qU=")</f>
        <v>#VALUE!</v>
      </c>
      <c r="FK44" t="e">
        <f>AND(Calculations!Q3,"AAAAAA/d9qY=")</f>
        <v>#VALUE!</v>
      </c>
      <c r="FL44" t="e">
        <f>AND(Calculations!R3,"AAAAAA/d9qc=")</f>
        <v>#VALUE!</v>
      </c>
      <c r="FM44" t="e">
        <f>AND(Calculations!S3,"AAAAAA/d9qg=")</f>
        <v>#VALUE!</v>
      </c>
      <c r="FN44" t="e">
        <f>AND(Calculations!T3,"AAAAAA/d9qk=")</f>
        <v>#VALUE!</v>
      </c>
      <c r="FO44" t="e">
        <f>AND(Calculations!U3,"AAAAAA/d9qo=")</f>
        <v>#VALUE!</v>
      </c>
      <c r="FP44" t="e">
        <f>AND(Calculations!V3,"AAAAAA/d9qs=")</f>
        <v>#VALUE!</v>
      </c>
      <c r="FQ44" t="e">
        <f>AND(Calculations!W3,"AAAAAA/d9qw=")</f>
        <v>#VALUE!</v>
      </c>
      <c r="FR44" t="e">
        <f>AND(Calculations!X3,"AAAAAA/d9q0=")</f>
        <v>#VALUE!</v>
      </c>
      <c r="FS44" t="e">
        <f>AND(Calculations!Y3,"AAAAAA/d9q4=")</f>
        <v>#VALUE!</v>
      </c>
      <c r="FT44">
        <f>IF(Calculations!7:7,"AAAAAA/d9q8=",0)</f>
        <v>0</v>
      </c>
      <c r="FU44" t="e">
        <f>AND(Calculations!A7,"AAAAAA/d9rA=")</f>
        <v>#VALUE!</v>
      </c>
      <c r="FV44" t="b">
        <f>AND(Calculations!B7,"AAAAAA/d9rE=")</f>
        <v>0</v>
      </c>
      <c r="FW44" t="e">
        <f>AND(Calculations!C7,"AAAAAA/d9rI=")</f>
        <v>#VALUE!</v>
      </c>
      <c r="FX44" t="e">
        <f>AND(Calculations!D7,"AAAAAA/d9rM=")</f>
        <v>#VALUE!</v>
      </c>
      <c r="FY44" t="e">
        <f>AND(Calculations!E7,"AAAAAA/d9rQ=")</f>
        <v>#VALUE!</v>
      </c>
      <c r="FZ44" t="e">
        <f>AND(Calculations!F7,"AAAAAA/d9rU=")</f>
        <v>#VALUE!</v>
      </c>
      <c r="GA44" t="e">
        <f>AND(Calculations!G7,"AAAAAA/d9rY=")</f>
        <v>#VALUE!</v>
      </c>
      <c r="GB44" t="e">
        <f>AND(Calculations!H7,"AAAAAA/d9rc=")</f>
        <v>#VALUE!</v>
      </c>
      <c r="GC44" t="e">
        <f>AND(Calculations!I7,"AAAAAA/d9rg=")</f>
        <v>#VALUE!</v>
      </c>
      <c r="GD44" t="e">
        <f>AND(Calculations!J7,"AAAAAA/d9rk=")</f>
        <v>#VALUE!</v>
      </c>
      <c r="GE44" t="e">
        <f>AND(Calculations!K7,"AAAAAA/d9ro=")</f>
        <v>#VALUE!</v>
      </c>
      <c r="GF44" t="e">
        <f>AND(Calculations!L7,"AAAAAA/d9rs=")</f>
        <v>#VALUE!</v>
      </c>
      <c r="GG44" t="e">
        <f>AND(Calculations!M7,"AAAAAA/d9rw=")</f>
        <v>#VALUE!</v>
      </c>
      <c r="GH44" t="e">
        <f>AND(Calculations!N7,"AAAAAA/d9r0=")</f>
        <v>#VALUE!</v>
      </c>
      <c r="GI44" t="e">
        <f>AND(Calculations!O7,"AAAAAA/d9r4=")</f>
        <v>#VALUE!</v>
      </c>
      <c r="GJ44" t="e">
        <f>AND(Calculations!P7,"AAAAAA/d9r8=")</f>
        <v>#VALUE!</v>
      </c>
      <c r="GK44" t="e">
        <f>AND(Calculations!Q7,"AAAAAA/d9sA=")</f>
        <v>#VALUE!</v>
      </c>
      <c r="GL44" t="e">
        <f>AND(Calculations!R7,"AAAAAA/d9sE=")</f>
        <v>#VALUE!</v>
      </c>
      <c r="GM44" t="e">
        <f>AND(Calculations!S7,"AAAAAA/d9sI=")</f>
        <v>#VALUE!</v>
      </c>
      <c r="GN44" t="e">
        <f>AND(Calculations!T7,"AAAAAA/d9sM=")</f>
        <v>#VALUE!</v>
      </c>
      <c r="GO44" t="e">
        <f>AND(Calculations!U7,"AAAAAA/d9sQ=")</f>
        <v>#VALUE!</v>
      </c>
      <c r="GP44" t="e">
        <f>AND(Calculations!V7,"AAAAAA/d9sU=")</f>
        <v>#VALUE!</v>
      </c>
      <c r="GQ44" t="e">
        <f>AND(Calculations!W7,"AAAAAA/d9sY=")</f>
        <v>#VALUE!</v>
      </c>
      <c r="GR44" t="e">
        <f>AND(Calculations!X7,"AAAAAA/d9sc=")</f>
        <v>#VALUE!</v>
      </c>
      <c r="GS44" t="e">
        <f>AND(Calculations!Y7,"AAAAAA/d9sg=")</f>
        <v>#VALUE!</v>
      </c>
      <c r="GT44">
        <f>IF(Calculations!8:8,"AAAAAA/d9sk=",0)</f>
        <v>0</v>
      </c>
      <c r="GU44" t="e">
        <f>AND(Calculations!#REF!,"AAAAAA/d9so=")</f>
        <v>#REF!</v>
      </c>
      <c r="GV44" t="e">
        <f>AND(Calculations!#REF!,"AAAAAA/d9ss=")</f>
        <v>#REF!</v>
      </c>
      <c r="GW44" t="e">
        <f>AND(Calculations!#REF!,"AAAAAA/d9sw=")</f>
        <v>#REF!</v>
      </c>
      <c r="GX44" t="e">
        <f>AND(Calculations!#REF!,"AAAAAA/d9s0=")</f>
        <v>#REF!</v>
      </c>
      <c r="GY44" t="e">
        <f>AND(Calculations!#REF!,"AAAAAA/d9s4=")</f>
        <v>#REF!</v>
      </c>
      <c r="GZ44" t="e">
        <f>AND(Calculations!#REF!,"AAAAAA/d9s8=")</f>
        <v>#REF!</v>
      </c>
      <c r="HA44" t="e">
        <f>AND(Calculations!#REF!,"AAAAAA/d9tA=")</f>
        <v>#REF!</v>
      </c>
      <c r="HB44" t="e">
        <f>AND(Calculations!#REF!,"AAAAAA/d9tE=")</f>
        <v>#REF!</v>
      </c>
      <c r="HC44" t="e">
        <f>AND(Calculations!D8,"AAAAAA/d9tI=")</f>
        <v>#VALUE!</v>
      </c>
      <c r="HD44" t="e">
        <f>AND(Calculations!E8,"AAAAAA/d9tM=")</f>
        <v>#VALUE!</v>
      </c>
      <c r="HE44" t="e">
        <f>AND(Calculations!F8,"AAAAAA/d9tQ=")</f>
        <v>#VALUE!</v>
      </c>
      <c r="HF44" t="e">
        <f>AND(Calculations!G8,"AAAAAA/d9tU=")</f>
        <v>#VALUE!</v>
      </c>
      <c r="HG44" t="e">
        <f>AND(Calculations!H8,"AAAAAA/d9tY=")</f>
        <v>#VALUE!</v>
      </c>
      <c r="HH44" t="e">
        <f>AND(Calculations!I8,"AAAAAA/d9tc=")</f>
        <v>#VALUE!</v>
      </c>
      <c r="HI44" t="e">
        <f>AND(Calculations!J8,"AAAAAA/d9tg=")</f>
        <v>#VALUE!</v>
      </c>
      <c r="HJ44" t="e">
        <f>AND(Calculations!K8,"AAAAAA/d9tk=")</f>
        <v>#VALUE!</v>
      </c>
      <c r="HK44" t="e">
        <f>AND(Calculations!L8,"AAAAAA/d9to=")</f>
        <v>#VALUE!</v>
      </c>
      <c r="HL44" t="e">
        <f>AND(Calculations!M8,"AAAAAA/d9ts=")</f>
        <v>#VALUE!</v>
      </c>
      <c r="HM44" t="e">
        <f>AND(Calculations!N8,"AAAAAA/d9tw=")</f>
        <v>#VALUE!</v>
      </c>
      <c r="HN44" t="e">
        <f>AND(Calculations!O8,"AAAAAA/d9t0=")</f>
        <v>#VALUE!</v>
      </c>
      <c r="HO44" t="e">
        <f>AND(Calculations!P8,"AAAAAA/d9t4=")</f>
        <v>#VALUE!</v>
      </c>
      <c r="HP44" t="e">
        <f>AND(Calculations!Q8,"AAAAAA/d9t8=")</f>
        <v>#VALUE!</v>
      </c>
      <c r="HQ44" t="e">
        <f>AND(Calculations!R8,"AAAAAA/d9uA=")</f>
        <v>#VALUE!</v>
      </c>
      <c r="HR44" t="e">
        <f>AND(Calculations!S8,"AAAAAA/d9uE=")</f>
        <v>#VALUE!</v>
      </c>
      <c r="HS44" t="e">
        <f>AND(Calculations!T8,"AAAAAA/d9uI=")</f>
        <v>#VALUE!</v>
      </c>
      <c r="HT44">
        <f>IF(Calculations!10:10,"AAAAAA/d9uM=",0)</f>
        <v>0</v>
      </c>
      <c r="HU44" t="e">
        <f>AND(Calculations!A10,"AAAAAA/d9uQ=")</f>
        <v>#VALUE!</v>
      </c>
      <c r="HV44" t="e">
        <f>AND(Calculations!#REF!,"AAAAAA/d9uU=")</f>
        <v>#REF!</v>
      </c>
      <c r="HW44" t="e">
        <f>AND(Calculations!C10,"AAAAAA/d9uY=")</f>
        <v>#VALUE!</v>
      </c>
      <c r="HX44" t="e">
        <f>AND(Calculations!#REF!,"AAAAAA/d9uc=")</f>
        <v>#REF!</v>
      </c>
      <c r="HY44" t="e">
        <f>AND(Calculations!#REF!,"AAAAAA/d9ug=")</f>
        <v>#REF!</v>
      </c>
      <c r="HZ44" t="e">
        <f>AND(Calculations!#REF!,"AAAAAA/d9uk=")</f>
        <v>#REF!</v>
      </c>
      <c r="IA44" t="e">
        <f>AND(Calculations!#REF!,"AAAAAA/d9uo=")</f>
        <v>#REF!</v>
      </c>
      <c r="IB44" t="e">
        <f>AND(Calculations!A9,"AAAAAA/d9us=")</f>
        <v>#VALUE!</v>
      </c>
      <c r="IC44" t="e">
        <f>AND(Calculations!D10,"AAAAAA/d9uw=")</f>
        <v>#VALUE!</v>
      </c>
      <c r="ID44" t="e">
        <f>AND(Calculations!E10,"AAAAAA/d9u0=")</f>
        <v>#VALUE!</v>
      </c>
      <c r="IE44" t="b">
        <f>AND(Calculations!F10,"AAAAAA/d9u4=")</f>
        <v>0</v>
      </c>
      <c r="IF44" t="e">
        <f>AND(Calculations!G10,"AAAAAA/d9u8=")</f>
        <v>#VALUE!</v>
      </c>
      <c r="IG44" t="e">
        <f>AND(Calculations!H10,"AAAAAA/d9vA=")</f>
        <v>#VALUE!</v>
      </c>
      <c r="IH44" t="e">
        <f>AND(Calculations!I10,"AAAAAA/d9vE=")</f>
        <v>#VALUE!</v>
      </c>
      <c r="II44" t="e">
        <f>AND(Calculations!J10,"AAAAAA/d9vI=")</f>
        <v>#VALUE!</v>
      </c>
      <c r="IJ44" t="e">
        <f>AND(Calculations!K10,"AAAAAA/d9vM=")</f>
        <v>#VALUE!</v>
      </c>
      <c r="IK44" t="e">
        <f>AND(Calculations!L10,"AAAAAA/d9vQ=")</f>
        <v>#VALUE!</v>
      </c>
      <c r="IL44" t="e">
        <f>AND(Calculations!M10,"AAAAAA/d9vU=")</f>
        <v>#VALUE!</v>
      </c>
      <c r="IM44" t="e">
        <f>AND(Calculations!N10,"AAAAAA/d9vY=")</f>
        <v>#VALUE!</v>
      </c>
      <c r="IN44" t="e">
        <f>AND(Calculations!O10,"AAAAAA/d9vc=")</f>
        <v>#VALUE!</v>
      </c>
      <c r="IO44" t="e">
        <f>AND(Calculations!P10,"AAAAAA/d9vg=")</f>
        <v>#VALUE!</v>
      </c>
      <c r="IP44" t="e">
        <f>AND(Calculations!Q10,"AAAAAA/d9vk=")</f>
        <v>#VALUE!</v>
      </c>
      <c r="IQ44" t="e">
        <f>AND(Calculations!R10,"AAAAAA/d9vo=")</f>
        <v>#VALUE!</v>
      </c>
      <c r="IR44" t="e">
        <f>AND(Calculations!S10,"AAAAAA/d9vs=")</f>
        <v>#VALUE!</v>
      </c>
      <c r="IS44" t="e">
        <f>AND(Calculations!T10,"AAAAAA/d9vw=")</f>
        <v>#VALUE!</v>
      </c>
      <c r="IT44">
        <f>IF(Calculations!11:11,"AAAAAA/d9v0=",0)</f>
        <v>0</v>
      </c>
      <c r="IU44" t="e">
        <f>AND(Calculations!#REF!,"AAAAAA/d9v4=")</f>
        <v>#REF!</v>
      </c>
      <c r="IV44" t="b">
        <f>AND(Calculations!B11,"AAAAAA/d9v8=")</f>
        <v>0</v>
      </c>
    </row>
    <row r="45" spans="1:256">
      <c r="A45" t="e">
        <f>AND(Calculations!#REF!,"AAAAAGX//wA=")</f>
        <v>#REF!</v>
      </c>
      <c r="B45" t="e">
        <f>AND(Calculations!#REF!,"AAAAAGX//wE=")</f>
        <v>#REF!</v>
      </c>
      <c r="C45" t="e">
        <f>AND(Calculations!#REF!,"AAAAAGX//wI=")</f>
        <v>#REF!</v>
      </c>
      <c r="D45" t="e">
        <f>AND(Calculations!#REF!,"AAAAAGX//wM=")</f>
        <v>#REF!</v>
      </c>
      <c r="E45" t="e">
        <f>AND(Calculations!#REF!,"AAAAAGX//wQ=")</f>
        <v>#REF!</v>
      </c>
      <c r="F45" t="e">
        <f>AND(Calculations!#REF!,"AAAAAGX//wU=")</f>
        <v>#REF!</v>
      </c>
      <c r="G45" t="e">
        <f>AND(Calculations!D11,"AAAAAGX//wY=")</f>
        <v>#VALUE!</v>
      </c>
      <c r="H45" t="e">
        <f>AND(Calculations!E11,"AAAAAGX//wc=")</f>
        <v>#VALUE!</v>
      </c>
      <c r="I45" t="b">
        <f>AND(Calculations!F11,"AAAAAGX//wg=")</f>
        <v>0</v>
      </c>
      <c r="J45" t="e">
        <f>AND(Calculations!G11,"AAAAAGX//wk=")</f>
        <v>#VALUE!</v>
      </c>
      <c r="K45" t="e">
        <f>AND(Calculations!H11,"AAAAAGX//wo=")</f>
        <v>#VALUE!</v>
      </c>
      <c r="L45" t="e">
        <f>AND(Calculations!I11,"AAAAAGX//ws=")</f>
        <v>#VALUE!</v>
      </c>
      <c r="M45" t="e">
        <f>AND(Calculations!J11,"AAAAAGX//ww=")</f>
        <v>#VALUE!</v>
      </c>
      <c r="N45" t="e">
        <f>AND(Calculations!K11,"AAAAAGX//w0=")</f>
        <v>#VALUE!</v>
      </c>
      <c r="O45" t="e">
        <f>AND(Calculations!L11,"AAAAAGX//w4=")</f>
        <v>#VALUE!</v>
      </c>
      <c r="P45" t="e">
        <f>AND(Calculations!M11,"AAAAAGX//w8=")</f>
        <v>#VALUE!</v>
      </c>
      <c r="Q45" t="e">
        <f>AND(Calculations!N11,"AAAAAGX//xA=")</f>
        <v>#VALUE!</v>
      </c>
      <c r="R45" t="e">
        <f>AND(Calculations!O11,"AAAAAGX//xE=")</f>
        <v>#VALUE!</v>
      </c>
      <c r="S45" t="e">
        <f>AND(Calculations!P11,"AAAAAGX//xI=")</f>
        <v>#VALUE!</v>
      </c>
      <c r="T45" t="e">
        <f>AND(Calculations!Q11,"AAAAAGX//xM=")</f>
        <v>#VALUE!</v>
      </c>
      <c r="U45" t="e">
        <f>AND(Calculations!R11,"AAAAAGX//xQ=")</f>
        <v>#VALUE!</v>
      </c>
      <c r="V45" t="e">
        <f>AND(Calculations!S11,"AAAAAGX//xU=")</f>
        <v>#VALUE!</v>
      </c>
      <c r="W45" t="e">
        <f>AND(Calculations!T11,"AAAAAGX//xY=")</f>
        <v>#VALUE!</v>
      </c>
      <c r="X45">
        <f>IF(Calculations!14:14,"AAAAAGX//xc=",0)</f>
        <v>0</v>
      </c>
      <c r="Y45" t="e">
        <f>AND(Calculations!#REF!,"AAAAAGX//xg=")</f>
        <v>#REF!</v>
      </c>
      <c r="Z45" t="e">
        <f>AND(Calculations!#REF!,"AAAAAGX//xk=")</f>
        <v>#REF!</v>
      </c>
      <c r="AA45" t="e">
        <f>AND(Calculations!#REF!,"AAAAAGX//xo=")</f>
        <v>#REF!</v>
      </c>
      <c r="AB45" t="e">
        <f>AND(Calculations!#REF!,"AAAAAGX//xs=")</f>
        <v>#REF!</v>
      </c>
      <c r="AC45" t="e">
        <f>AND(Calculations!#REF!,"AAAAAGX//xw=")</f>
        <v>#REF!</v>
      </c>
      <c r="AD45" t="e">
        <f>AND(Calculations!#REF!,"AAAAAGX//x0=")</f>
        <v>#REF!</v>
      </c>
      <c r="AE45" t="e">
        <f>AND(Calculations!#REF!,"AAAAAGX//x4=")</f>
        <v>#REF!</v>
      </c>
      <c r="AF45" t="e">
        <f>AND(Calculations!#REF!,"AAAAAGX//x8=")</f>
        <v>#REF!</v>
      </c>
      <c r="AG45" t="e">
        <f>AND(Calculations!D14,"AAAAAGX//yA=")</f>
        <v>#VALUE!</v>
      </c>
      <c r="AH45" t="e">
        <f>AND(Calculations!E14,"AAAAAGX//yE=")</f>
        <v>#VALUE!</v>
      </c>
      <c r="AI45" t="e">
        <f>AND(Calculations!F14,"AAAAAGX//yI=")</f>
        <v>#VALUE!</v>
      </c>
      <c r="AJ45" t="e">
        <f>AND(Calculations!G14,"AAAAAGX//yM=")</f>
        <v>#VALUE!</v>
      </c>
      <c r="AK45" t="b">
        <f>AND(Calculations!H14,"AAAAAGX//yQ=")</f>
        <v>1</v>
      </c>
      <c r="AL45" t="e">
        <f>AND(Calculations!I14,"AAAAAGX//yU=")</f>
        <v>#VALUE!</v>
      </c>
      <c r="AM45" t="e">
        <f>AND(Calculations!J14,"AAAAAGX//yY=")</f>
        <v>#VALUE!</v>
      </c>
      <c r="AN45" t="e">
        <f>AND(Calculations!K14,"AAAAAGX//yc=")</f>
        <v>#VALUE!</v>
      </c>
      <c r="AO45" t="e">
        <f>AND(Calculations!L14,"AAAAAGX//yg=")</f>
        <v>#VALUE!</v>
      </c>
      <c r="AP45" t="e">
        <f>AND(Calculations!M14,"AAAAAGX//yk=")</f>
        <v>#VALUE!</v>
      </c>
      <c r="AQ45" t="e">
        <f>AND(Calculations!N14,"AAAAAGX//yo=")</f>
        <v>#VALUE!</v>
      </c>
      <c r="AR45" t="e">
        <f>AND(Calculations!O14,"AAAAAGX//ys=")</f>
        <v>#VALUE!</v>
      </c>
      <c r="AS45" t="e">
        <f>AND(Calculations!P14,"AAAAAGX//yw=")</f>
        <v>#VALUE!</v>
      </c>
      <c r="AT45" t="e">
        <f>AND(Calculations!Q14,"AAAAAGX//y0=")</f>
        <v>#VALUE!</v>
      </c>
      <c r="AU45" t="e">
        <f>AND(Calculations!R14,"AAAAAGX//y4=")</f>
        <v>#VALUE!</v>
      </c>
      <c r="AV45" t="e">
        <f>AND(Calculations!S14,"AAAAAGX//y8=")</f>
        <v>#VALUE!</v>
      </c>
      <c r="AW45" t="e">
        <f>AND(Calculations!T14,"AAAAAGX//zA=")</f>
        <v>#VALUE!</v>
      </c>
      <c r="AX45" t="e">
        <f>IF(Calculations!#REF!,"AAAAAGX//zE=",0)</f>
        <v>#REF!</v>
      </c>
      <c r="AY45" t="e">
        <f>AND(Calculations!#REF!,"AAAAAGX//zI=")</f>
        <v>#REF!</v>
      </c>
      <c r="AZ45" t="e">
        <f>AND(Calculations!#REF!,"AAAAAGX//zM=")</f>
        <v>#REF!</v>
      </c>
      <c r="BA45" t="e">
        <f>AND(Calculations!#REF!,"AAAAAGX//zQ=")</f>
        <v>#REF!</v>
      </c>
      <c r="BB45" t="e">
        <f>AND(Calculations!#REF!,"AAAAAGX//zU=")</f>
        <v>#REF!</v>
      </c>
      <c r="BC45" t="e">
        <f>AND(Calculations!#REF!,"AAAAAGX//zY=")</f>
        <v>#REF!</v>
      </c>
      <c r="BD45" t="e">
        <f>AND(Calculations!#REF!,"AAAAAGX//zc=")</f>
        <v>#REF!</v>
      </c>
      <c r="BE45" t="e">
        <f>AND(Calculations!#REF!,"AAAAAGX//zg=")</f>
        <v>#REF!</v>
      </c>
      <c r="BF45" t="e">
        <f>AND(Calculations!#REF!,"AAAAAGX//zk=")</f>
        <v>#REF!</v>
      </c>
      <c r="BG45" t="e">
        <f>AND(Calculations!#REF!,"AAAAAGX//zo=")</f>
        <v>#REF!</v>
      </c>
      <c r="BH45" t="e">
        <f>AND(Calculations!#REF!,"AAAAAGX//zs=")</f>
        <v>#REF!</v>
      </c>
      <c r="BI45" t="e">
        <f>AND(Calculations!#REF!,"AAAAAGX//zw=")</f>
        <v>#REF!</v>
      </c>
      <c r="BJ45" t="e">
        <f>AND(Calculations!#REF!,"AAAAAGX//z0=")</f>
        <v>#REF!</v>
      </c>
      <c r="BK45" t="e">
        <f>AND(Calculations!#REF!,"AAAAAGX//z4=")</f>
        <v>#REF!</v>
      </c>
      <c r="BL45" t="e">
        <f>AND(Calculations!#REF!,"AAAAAGX//z8=")</f>
        <v>#REF!</v>
      </c>
      <c r="BM45" t="e">
        <f>AND(Calculations!#REF!,"AAAAAGX//0A=")</f>
        <v>#REF!</v>
      </c>
      <c r="BN45" t="e">
        <f>AND(Calculations!#REF!,"AAAAAGX//0E=")</f>
        <v>#REF!</v>
      </c>
      <c r="BO45" t="e">
        <f>AND(Calculations!#REF!,"AAAAAGX//0I=")</f>
        <v>#REF!</v>
      </c>
      <c r="BP45" t="e">
        <f>AND(Calculations!#REF!,"AAAAAGX//0M=")</f>
        <v>#REF!</v>
      </c>
      <c r="BQ45" t="e">
        <f>AND(Calculations!#REF!,"AAAAAGX//0Q=")</f>
        <v>#REF!</v>
      </c>
      <c r="BR45" t="e">
        <f>AND(Calculations!#REF!,"AAAAAGX//0U=")</f>
        <v>#REF!</v>
      </c>
      <c r="BS45" t="e">
        <f>AND(Calculations!#REF!,"AAAAAGX//0Y=")</f>
        <v>#REF!</v>
      </c>
      <c r="BT45" t="e">
        <f>AND(Calculations!#REF!,"AAAAAGX//0c=")</f>
        <v>#REF!</v>
      </c>
      <c r="BU45" t="e">
        <f>AND(Calculations!#REF!,"AAAAAGX//0g=")</f>
        <v>#REF!</v>
      </c>
      <c r="BV45" t="e">
        <f>AND(Calculations!#REF!,"AAAAAGX//0k=")</f>
        <v>#REF!</v>
      </c>
      <c r="BW45" t="e">
        <f>AND(Calculations!#REF!,"AAAAAGX//0o=")</f>
        <v>#REF!</v>
      </c>
      <c r="BX45" t="e">
        <f>IF(Calculations!#REF!,"AAAAAGX//0s=",0)</f>
        <v>#REF!</v>
      </c>
      <c r="BY45" t="e">
        <f>AND(Calculations!#REF!,"AAAAAGX//0w=")</f>
        <v>#REF!</v>
      </c>
      <c r="BZ45" t="e">
        <f>AND(Calculations!#REF!,"AAAAAGX//00=")</f>
        <v>#REF!</v>
      </c>
      <c r="CA45" t="e">
        <f>AND(Calculations!#REF!,"AAAAAGX//04=")</f>
        <v>#REF!</v>
      </c>
      <c r="CB45" t="e">
        <f>AND(Calculations!#REF!,"AAAAAGX//08=")</f>
        <v>#REF!</v>
      </c>
      <c r="CC45" t="e">
        <f>AND(Calculations!#REF!,"AAAAAGX//1A=")</f>
        <v>#REF!</v>
      </c>
      <c r="CD45" t="e">
        <f>AND(Calculations!#REF!,"AAAAAGX//1E=")</f>
        <v>#REF!</v>
      </c>
      <c r="CE45" t="e">
        <f>AND(Calculations!#REF!,"AAAAAGX//1I=")</f>
        <v>#REF!</v>
      </c>
      <c r="CF45" t="e">
        <f>AND(Calculations!#REF!,"AAAAAGX//1M=")</f>
        <v>#REF!</v>
      </c>
      <c r="CG45" t="e">
        <f>AND(Calculations!#REF!,"AAAAAGX//1Q=")</f>
        <v>#REF!</v>
      </c>
      <c r="CH45" t="e">
        <f>AND(Calculations!#REF!,"AAAAAGX//1U=")</f>
        <v>#REF!</v>
      </c>
      <c r="CI45" t="e">
        <f>AND(Calculations!#REF!,"AAAAAGX//1Y=")</f>
        <v>#REF!</v>
      </c>
      <c r="CJ45" t="e">
        <f>AND(Calculations!#REF!,"AAAAAGX//1c=")</f>
        <v>#REF!</v>
      </c>
      <c r="CK45" t="e">
        <f>AND(Calculations!#REF!,"AAAAAGX//1g=")</f>
        <v>#REF!</v>
      </c>
      <c r="CL45" t="e">
        <f>AND(Calculations!#REF!,"AAAAAGX//1k=")</f>
        <v>#REF!</v>
      </c>
      <c r="CM45" t="e">
        <f>AND(Calculations!#REF!,"AAAAAGX//1o=")</f>
        <v>#REF!</v>
      </c>
      <c r="CN45" t="e">
        <f>AND(Calculations!#REF!,"AAAAAGX//1s=")</f>
        <v>#REF!</v>
      </c>
      <c r="CO45" t="e">
        <f>AND(Calculations!#REF!,"AAAAAGX//1w=")</f>
        <v>#REF!</v>
      </c>
      <c r="CP45" t="e">
        <f>AND(Calculations!#REF!,"AAAAAGX//10=")</f>
        <v>#REF!</v>
      </c>
      <c r="CQ45" t="e">
        <f>AND(Calculations!#REF!,"AAAAAGX//14=")</f>
        <v>#REF!</v>
      </c>
      <c r="CR45" t="e">
        <f>AND(Calculations!#REF!,"AAAAAGX//18=")</f>
        <v>#REF!</v>
      </c>
      <c r="CS45" t="e">
        <f>AND(Calculations!#REF!,"AAAAAGX//2A=")</f>
        <v>#REF!</v>
      </c>
      <c r="CT45" t="e">
        <f>AND(Calculations!#REF!,"AAAAAGX//2E=")</f>
        <v>#REF!</v>
      </c>
      <c r="CU45" t="e">
        <f>AND(Calculations!#REF!,"AAAAAGX//2I=")</f>
        <v>#REF!</v>
      </c>
      <c r="CV45" t="e">
        <f>AND(Calculations!#REF!,"AAAAAGX//2M=")</f>
        <v>#REF!</v>
      </c>
      <c r="CW45" t="e">
        <f>AND(Calculations!#REF!,"AAAAAGX//2Q=")</f>
        <v>#REF!</v>
      </c>
      <c r="CX45" t="e">
        <f>IF(Calculations!#REF!,"AAAAAGX//2U=",0)</f>
        <v>#REF!</v>
      </c>
      <c r="CY45" t="e">
        <f>AND(Calculations!#REF!,"AAAAAGX//2Y=")</f>
        <v>#REF!</v>
      </c>
      <c r="CZ45" t="e">
        <f>AND(Calculations!#REF!,"AAAAAGX//2c=")</f>
        <v>#REF!</v>
      </c>
      <c r="DA45" t="e">
        <f>AND(Calculations!#REF!,"AAAAAGX//2g=")</f>
        <v>#REF!</v>
      </c>
      <c r="DB45" t="e">
        <f>AND(Calculations!#REF!,"AAAAAGX//2k=")</f>
        <v>#REF!</v>
      </c>
      <c r="DC45" t="e">
        <f>AND(Calculations!#REF!,"AAAAAGX//2o=")</f>
        <v>#REF!</v>
      </c>
      <c r="DD45" t="e">
        <f>AND(Calculations!#REF!,"AAAAAGX//2s=")</f>
        <v>#REF!</v>
      </c>
      <c r="DE45" t="e">
        <f>AND(Calculations!#REF!,"AAAAAGX//2w=")</f>
        <v>#REF!</v>
      </c>
      <c r="DF45" t="e">
        <f>AND(Calculations!#REF!,"AAAAAGX//20=")</f>
        <v>#REF!</v>
      </c>
      <c r="DG45" t="e">
        <f>AND(Calculations!#REF!,"AAAAAGX//24=")</f>
        <v>#REF!</v>
      </c>
      <c r="DH45" t="e">
        <f>AND(Calculations!#REF!,"AAAAAGX//28=")</f>
        <v>#REF!</v>
      </c>
      <c r="DI45" t="e">
        <f>AND(Calculations!#REF!,"AAAAAGX//3A=")</f>
        <v>#REF!</v>
      </c>
      <c r="DJ45" t="e">
        <f>AND(Calculations!#REF!,"AAAAAGX//3E=")</f>
        <v>#REF!</v>
      </c>
      <c r="DK45" t="e">
        <f>AND(Calculations!#REF!,"AAAAAGX//3I=")</f>
        <v>#REF!</v>
      </c>
      <c r="DL45" t="e">
        <f>AND(Calculations!#REF!,"AAAAAGX//3M=")</f>
        <v>#REF!</v>
      </c>
      <c r="DM45" t="e">
        <f>AND(Calculations!#REF!,"AAAAAGX//3Q=")</f>
        <v>#REF!</v>
      </c>
      <c r="DN45" t="e">
        <f>AND(Calculations!#REF!,"AAAAAGX//3U=")</f>
        <v>#REF!</v>
      </c>
      <c r="DO45" t="e">
        <f>AND(Calculations!#REF!,"AAAAAGX//3Y=")</f>
        <v>#REF!</v>
      </c>
      <c r="DP45" t="e">
        <f>AND(Calculations!#REF!,"AAAAAGX//3c=")</f>
        <v>#REF!</v>
      </c>
      <c r="DQ45" t="e">
        <f>AND(Calculations!#REF!,"AAAAAGX//3g=")</f>
        <v>#REF!</v>
      </c>
      <c r="DR45" t="e">
        <f>AND(Calculations!#REF!,"AAAAAGX//3k=")</f>
        <v>#REF!</v>
      </c>
      <c r="DS45" t="e">
        <f>AND(Calculations!#REF!,"AAAAAGX//3o=")</f>
        <v>#REF!</v>
      </c>
      <c r="DT45" t="e">
        <f>AND(Calculations!#REF!,"AAAAAGX//3s=")</f>
        <v>#REF!</v>
      </c>
      <c r="DU45" t="e">
        <f>AND(Calculations!#REF!,"AAAAAGX//3w=")</f>
        <v>#REF!</v>
      </c>
      <c r="DV45" t="e">
        <f>AND(Calculations!#REF!,"AAAAAGX//30=")</f>
        <v>#REF!</v>
      </c>
      <c r="DW45" t="e">
        <f>AND(Calculations!#REF!,"AAAAAGX//34=")</f>
        <v>#REF!</v>
      </c>
      <c r="DX45" t="e">
        <f>IF(Calculations!#REF!,"AAAAAGX//38=",0)</f>
        <v>#REF!</v>
      </c>
      <c r="DY45" t="e">
        <f>AND(Calculations!#REF!,"AAAAAGX//4A=")</f>
        <v>#REF!</v>
      </c>
      <c r="DZ45" t="e">
        <f>AND(Calculations!#REF!,"AAAAAGX//4E=")</f>
        <v>#REF!</v>
      </c>
      <c r="EA45" t="e">
        <f>AND(Calculations!#REF!,"AAAAAGX//4I=")</f>
        <v>#REF!</v>
      </c>
      <c r="EB45" t="e">
        <f>AND(Calculations!#REF!,"AAAAAGX//4M=")</f>
        <v>#REF!</v>
      </c>
      <c r="EC45" t="e">
        <f>AND(Calculations!#REF!,"AAAAAGX//4Q=")</f>
        <v>#REF!</v>
      </c>
      <c r="ED45" t="e">
        <f>AND(Calculations!#REF!,"AAAAAGX//4U=")</f>
        <v>#REF!</v>
      </c>
      <c r="EE45" t="e">
        <f>AND(Calculations!#REF!,"AAAAAGX//4Y=")</f>
        <v>#REF!</v>
      </c>
      <c r="EF45" t="e">
        <f>AND(Calculations!#REF!,"AAAAAGX//4c=")</f>
        <v>#REF!</v>
      </c>
      <c r="EG45" t="e">
        <f>AND(Calculations!#REF!,"AAAAAGX//4g=")</f>
        <v>#REF!</v>
      </c>
      <c r="EH45" t="e">
        <f>AND(Calculations!#REF!,"AAAAAGX//4k=")</f>
        <v>#REF!</v>
      </c>
      <c r="EI45" t="e">
        <f>AND(Calculations!#REF!,"AAAAAGX//4o=")</f>
        <v>#REF!</v>
      </c>
      <c r="EJ45" t="e">
        <f>AND(Calculations!#REF!,"AAAAAGX//4s=")</f>
        <v>#REF!</v>
      </c>
      <c r="EK45" t="e">
        <f>AND(Calculations!#REF!,"AAAAAGX//4w=")</f>
        <v>#REF!</v>
      </c>
      <c r="EL45" t="e">
        <f>AND(Calculations!#REF!,"AAAAAGX//40=")</f>
        <v>#REF!</v>
      </c>
      <c r="EM45" t="e">
        <f>AND(Calculations!#REF!,"AAAAAGX//44=")</f>
        <v>#REF!</v>
      </c>
      <c r="EN45" t="e">
        <f>AND(Calculations!#REF!,"AAAAAGX//48=")</f>
        <v>#REF!</v>
      </c>
      <c r="EO45" t="e">
        <f>AND(Calculations!#REF!,"AAAAAGX//5A=")</f>
        <v>#REF!</v>
      </c>
      <c r="EP45" t="e">
        <f>AND(Calculations!#REF!,"AAAAAGX//5E=")</f>
        <v>#REF!</v>
      </c>
      <c r="EQ45" t="e">
        <f>AND(Calculations!#REF!,"AAAAAGX//5I=")</f>
        <v>#REF!</v>
      </c>
      <c r="ER45" t="e">
        <f>AND(Calculations!#REF!,"AAAAAGX//5M=")</f>
        <v>#REF!</v>
      </c>
      <c r="ES45" t="e">
        <f>AND(Calculations!#REF!,"AAAAAGX//5Q=")</f>
        <v>#REF!</v>
      </c>
      <c r="ET45" t="e">
        <f>AND(Calculations!#REF!,"AAAAAGX//5U=")</f>
        <v>#REF!</v>
      </c>
      <c r="EU45" t="e">
        <f>AND(Calculations!#REF!,"AAAAAGX//5Y=")</f>
        <v>#REF!</v>
      </c>
      <c r="EV45" t="e">
        <f>AND(Calculations!#REF!,"AAAAAGX//5c=")</f>
        <v>#REF!</v>
      </c>
      <c r="EW45" t="e">
        <f>AND(Calculations!#REF!,"AAAAAGX//5g=")</f>
        <v>#REF!</v>
      </c>
      <c r="EX45" t="e">
        <f>IF(Calculations!#REF!,"AAAAAGX//5k=",0)</f>
        <v>#REF!</v>
      </c>
      <c r="EY45" t="e">
        <f>AND(Calculations!#REF!,"AAAAAGX//5o=")</f>
        <v>#REF!</v>
      </c>
      <c r="EZ45" t="e">
        <f>AND(Calculations!#REF!,"AAAAAGX//5s=")</f>
        <v>#REF!</v>
      </c>
      <c r="FA45" t="e">
        <f>AND(Calculations!#REF!,"AAAAAGX//5w=")</f>
        <v>#REF!</v>
      </c>
      <c r="FB45" t="e">
        <f>AND(Calculations!#REF!,"AAAAAGX//50=")</f>
        <v>#REF!</v>
      </c>
      <c r="FC45" t="e">
        <f>AND(Calculations!#REF!,"AAAAAGX//54=")</f>
        <v>#REF!</v>
      </c>
      <c r="FD45" t="e">
        <f>AND(Calculations!#REF!,"AAAAAGX//58=")</f>
        <v>#REF!</v>
      </c>
      <c r="FE45" t="e">
        <f>AND(Calculations!#REF!,"AAAAAGX//6A=")</f>
        <v>#REF!</v>
      </c>
      <c r="FF45" t="e">
        <f>AND(Calculations!#REF!,"AAAAAGX//6E=")</f>
        <v>#REF!</v>
      </c>
      <c r="FG45" t="e">
        <f>AND(Calculations!#REF!,"AAAAAGX//6I=")</f>
        <v>#REF!</v>
      </c>
      <c r="FH45" t="e">
        <f>AND(Calculations!#REF!,"AAAAAGX//6M=")</f>
        <v>#REF!</v>
      </c>
      <c r="FI45" t="e">
        <f>AND(Calculations!#REF!,"AAAAAGX//6Q=")</f>
        <v>#REF!</v>
      </c>
      <c r="FJ45" t="e">
        <f>AND(Calculations!#REF!,"AAAAAGX//6U=")</f>
        <v>#REF!</v>
      </c>
      <c r="FK45" t="e">
        <f>AND(Calculations!#REF!,"AAAAAGX//6Y=")</f>
        <v>#REF!</v>
      </c>
      <c r="FL45" t="e">
        <f>AND(Calculations!#REF!,"AAAAAGX//6c=")</f>
        <v>#REF!</v>
      </c>
      <c r="FM45" t="e">
        <f>AND(Calculations!#REF!,"AAAAAGX//6g=")</f>
        <v>#REF!</v>
      </c>
      <c r="FN45" t="e">
        <f>AND(Calculations!#REF!,"AAAAAGX//6k=")</f>
        <v>#REF!</v>
      </c>
      <c r="FO45" t="e">
        <f>AND(Calculations!#REF!,"AAAAAGX//6o=")</f>
        <v>#REF!</v>
      </c>
      <c r="FP45" t="e">
        <f>AND(Calculations!#REF!,"AAAAAGX//6s=")</f>
        <v>#REF!</v>
      </c>
      <c r="FQ45" t="e">
        <f>AND(Calculations!#REF!,"AAAAAGX//6w=")</f>
        <v>#REF!</v>
      </c>
      <c r="FR45" t="e">
        <f>AND(Calculations!#REF!,"AAAAAGX//60=")</f>
        <v>#REF!</v>
      </c>
      <c r="FS45" t="e">
        <f>AND(Calculations!#REF!,"AAAAAGX//64=")</f>
        <v>#REF!</v>
      </c>
      <c r="FT45" t="e">
        <f>AND(Calculations!#REF!,"AAAAAGX//68=")</f>
        <v>#REF!</v>
      </c>
      <c r="FU45" t="e">
        <f>AND(Calculations!#REF!,"AAAAAGX//7A=")</f>
        <v>#REF!</v>
      </c>
      <c r="FV45" t="e">
        <f>AND(Calculations!#REF!,"AAAAAGX//7E=")</f>
        <v>#REF!</v>
      </c>
      <c r="FW45" t="e">
        <f>AND(Calculations!#REF!,"AAAAAGX//7I=")</f>
        <v>#REF!</v>
      </c>
      <c r="FX45" t="e">
        <f>IF(Calculations!#REF!,"AAAAAGX//7M=",0)</f>
        <v>#REF!</v>
      </c>
      <c r="FY45" t="e">
        <f>AND(Calculations!#REF!,"AAAAAGX//7Q=")</f>
        <v>#REF!</v>
      </c>
      <c r="FZ45" t="e">
        <f>AND(Calculations!#REF!,"AAAAAGX//7U=")</f>
        <v>#REF!</v>
      </c>
      <c r="GA45" t="e">
        <f>AND(Calculations!#REF!,"AAAAAGX//7Y=")</f>
        <v>#REF!</v>
      </c>
      <c r="GB45" t="e">
        <f>AND(Calculations!#REF!,"AAAAAGX//7c=")</f>
        <v>#REF!</v>
      </c>
      <c r="GC45" t="e">
        <f>AND(Calculations!#REF!,"AAAAAGX//7g=")</f>
        <v>#REF!</v>
      </c>
      <c r="GD45" t="e">
        <f>AND(Calculations!#REF!,"AAAAAGX//7k=")</f>
        <v>#REF!</v>
      </c>
      <c r="GE45" t="e">
        <f>AND(Calculations!#REF!,"AAAAAGX//7o=")</f>
        <v>#REF!</v>
      </c>
      <c r="GF45" t="e">
        <f>AND(Calculations!#REF!,"AAAAAGX//7s=")</f>
        <v>#REF!</v>
      </c>
      <c r="GG45" t="e">
        <f>AND(Calculations!#REF!,"AAAAAGX//7w=")</f>
        <v>#REF!</v>
      </c>
      <c r="GH45" t="e">
        <f>AND(Calculations!#REF!,"AAAAAGX//70=")</f>
        <v>#REF!</v>
      </c>
      <c r="GI45" t="e">
        <f>AND(Calculations!#REF!,"AAAAAGX//74=")</f>
        <v>#REF!</v>
      </c>
      <c r="GJ45" t="e">
        <f>AND(Calculations!#REF!,"AAAAAGX//78=")</f>
        <v>#REF!</v>
      </c>
      <c r="GK45" t="e">
        <f>AND(Calculations!#REF!,"AAAAAGX//8A=")</f>
        <v>#REF!</v>
      </c>
      <c r="GL45" t="e">
        <f>AND(Calculations!#REF!,"AAAAAGX//8E=")</f>
        <v>#REF!</v>
      </c>
      <c r="GM45" t="e">
        <f>AND(Calculations!#REF!,"AAAAAGX//8I=")</f>
        <v>#REF!</v>
      </c>
      <c r="GN45" t="e">
        <f>AND(Calculations!#REF!,"AAAAAGX//8M=")</f>
        <v>#REF!</v>
      </c>
      <c r="GO45" t="e">
        <f>AND(Calculations!#REF!,"AAAAAGX//8Q=")</f>
        <v>#REF!</v>
      </c>
      <c r="GP45" t="e">
        <f>AND(Calculations!#REF!,"AAAAAGX//8U=")</f>
        <v>#REF!</v>
      </c>
      <c r="GQ45" t="e">
        <f>AND(Calculations!#REF!,"AAAAAGX//8Y=")</f>
        <v>#REF!</v>
      </c>
      <c r="GR45" t="e">
        <f>AND(Calculations!#REF!,"AAAAAGX//8c=")</f>
        <v>#REF!</v>
      </c>
      <c r="GS45" t="e">
        <f>AND(Calculations!#REF!,"AAAAAGX//8g=")</f>
        <v>#REF!</v>
      </c>
      <c r="GT45" t="e">
        <f>AND(Calculations!#REF!,"AAAAAGX//8k=")</f>
        <v>#REF!</v>
      </c>
      <c r="GU45" t="e">
        <f>AND(Calculations!#REF!,"AAAAAGX//8o=")</f>
        <v>#REF!</v>
      </c>
      <c r="GV45" t="e">
        <f>AND(Calculations!#REF!,"AAAAAGX//8s=")</f>
        <v>#REF!</v>
      </c>
      <c r="GW45" t="e">
        <f>AND(Calculations!#REF!,"AAAAAGX//8w=")</f>
        <v>#REF!</v>
      </c>
      <c r="GX45" t="e">
        <f>IF(Calculations!#REF!,"AAAAAGX//80=",0)</f>
        <v>#REF!</v>
      </c>
      <c r="GY45" t="e">
        <f>AND(Calculations!#REF!,"AAAAAGX//84=")</f>
        <v>#REF!</v>
      </c>
      <c r="GZ45" t="e">
        <f>AND(Calculations!#REF!,"AAAAAGX//88=")</f>
        <v>#REF!</v>
      </c>
      <c r="HA45" t="e">
        <f>AND(Calculations!#REF!,"AAAAAGX//9A=")</f>
        <v>#REF!</v>
      </c>
      <c r="HB45" t="e">
        <f>AND(Calculations!#REF!,"AAAAAGX//9E=")</f>
        <v>#REF!</v>
      </c>
      <c r="HC45" t="e">
        <f>AND(Calculations!#REF!,"AAAAAGX//9I=")</f>
        <v>#REF!</v>
      </c>
      <c r="HD45" t="e">
        <f>AND(Calculations!#REF!,"AAAAAGX//9M=")</f>
        <v>#REF!</v>
      </c>
      <c r="HE45" t="e">
        <f>AND(Calculations!#REF!,"AAAAAGX//9Q=")</f>
        <v>#REF!</v>
      </c>
      <c r="HF45" t="e">
        <f>AND(Calculations!#REF!,"AAAAAGX//9U=")</f>
        <v>#REF!</v>
      </c>
      <c r="HG45" t="e">
        <f>AND(Calculations!#REF!,"AAAAAGX//9Y=")</f>
        <v>#REF!</v>
      </c>
      <c r="HH45" t="e">
        <f>AND(Calculations!#REF!,"AAAAAGX//9c=")</f>
        <v>#REF!</v>
      </c>
      <c r="HI45" t="e">
        <f>AND(Calculations!#REF!,"AAAAAGX//9g=")</f>
        <v>#REF!</v>
      </c>
      <c r="HJ45" t="e">
        <f>AND(Calculations!#REF!,"AAAAAGX//9k=")</f>
        <v>#REF!</v>
      </c>
      <c r="HK45" t="e">
        <f>AND(Calculations!#REF!,"AAAAAGX//9o=")</f>
        <v>#REF!</v>
      </c>
      <c r="HL45" t="e">
        <f>AND(Calculations!#REF!,"AAAAAGX//9s=")</f>
        <v>#REF!</v>
      </c>
      <c r="HM45" t="e">
        <f>AND(Calculations!#REF!,"AAAAAGX//9w=")</f>
        <v>#REF!</v>
      </c>
      <c r="HN45" t="e">
        <f>AND(Calculations!#REF!,"AAAAAGX//90=")</f>
        <v>#REF!</v>
      </c>
      <c r="HO45" t="e">
        <f>AND(Calculations!#REF!,"AAAAAGX//94=")</f>
        <v>#REF!</v>
      </c>
      <c r="HP45" t="e">
        <f>AND(Calculations!#REF!,"AAAAAGX//98=")</f>
        <v>#REF!</v>
      </c>
      <c r="HQ45" t="e">
        <f>AND(Calculations!#REF!,"AAAAAGX//+A=")</f>
        <v>#REF!</v>
      </c>
      <c r="HR45" t="e">
        <f>AND(Calculations!#REF!,"AAAAAGX//+E=")</f>
        <v>#REF!</v>
      </c>
      <c r="HS45" t="e">
        <f>AND(Calculations!#REF!,"AAAAAGX//+I=")</f>
        <v>#REF!</v>
      </c>
      <c r="HT45" t="e">
        <f>AND(Calculations!#REF!,"AAAAAGX//+M=")</f>
        <v>#REF!</v>
      </c>
      <c r="HU45" t="e">
        <f>AND(Calculations!#REF!,"AAAAAGX//+Q=")</f>
        <v>#REF!</v>
      </c>
      <c r="HV45" t="e">
        <f>AND(Calculations!#REF!,"AAAAAGX//+U=")</f>
        <v>#REF!</v>
      </c>
      <c r="HW45" t="e">
        <f>AND(Calculations!#REF!,"AAAAAGX//+Y=")</f>
        <v>#REF!</v>
      </c>
      <c r="HX45" t="e">
        <f>IF(Calculations!#REF!,"AAAAAGX//+c=",0)</f>
        <v>#REF!</v>
      </c>
      <c r="HY45" t="e">
        <f>AND(Calculations!#REF!,"AAAAAGX//+g=")</f>
        <v>#REF!</v>
      </c>
      <c r="HZ45" t="e">
        <f>AND(Calculations!#REF!,"AAAAAGX//+k=")</f>
        <v>#REF!</v>
      </c>
      <c r="IA45" t="e">
        <f>AND(Calculations!#REF!,"AAAAAGX//+o=")</f>
        <v>#REF!</v>
      </c>
      <c r="IB45" t="e">
        <f>AND(Calculations!#REF!,"AAAAAGX//+s=")</f>
        <v>#REF!</v>
      </c>
      <c r="IC45" t="e">
        <f>AND(Calculations!#REF!,"AAAAAGX//+w=")</f>
        <v>#REF!</v>
      </c>
      <c r="ID45" t="e">
        <f>AND(Calculations!#REF!,"AAAAAGX//+0=")</f>
        <v>#REF!</v>
      </c>
      <c r="IE45" t="e">
        <f>AND(Calculations!#REF!,"AAAAAGX//+4=")</f>
        <v>#REF!</v>
      </c>
      <c r="IF45" t="e">
        <f>AND(Calculations!#REF!,"AAAAAGX//+8=")</f>
        <v>#REF!</v>
      </c>
      <c r="IG45" t="e">
        <f>AND(Calculations!#REF!,"AAAAAGX///A=")</f>
        <v>#REF!</v>
      </c>
      <c r="IH45" t="e">
        <f>AND(Calculations!#REF!,"AAAAAGX///E=")</f>
        <v>#REF!</v>
      </c>
      <c r="II45" t="e">
        <f>AND(Calculations!#REF!,"AAAAAGX///I=")</f>
        <v>#REF!</v>
      </c>
      <c r="IJ45" t="e">
        <f>AND(Calculations!#REF!,"AAAAAGX///M=")</f>
        <v>#REF!</v>
      </c>
      <c r="IK45" t="e">
        <f>AND(Calculations!#REF!,"AAAAAGX///Q=")</f>
        <v>#REF!</v>
      </c>
      <c r="IL45" t="e">
        <f>AND(Calculations!#REF!,"AAAAAGX///U=")</f>
        <v>#REF!</v>
      </c>
      <c r="IM45" t="e">
        <f>AND(Calculations!#REF!,"AAAAAGX///Y=")</f>
        <v>#REF!</v>
      </c>
      <c r="IN45" t="e">
        <f>AND(Calculations!#REF!,"AAAAAGX///c=")</f>
        <v>#REF!</v>
      </c>
      <c r="IO45" t="e">
        <f>AND(Calculations!#REF!,"AAAAAGX///g=")</f>
        <v>#REF!</v>
      </c>
      <c r="IP45" t="e">
        <f>AND(Calculations!#REF!,"AAAAAGX///k=")</f>
        <v>#REF!</v>
      </c>
      <c r="IQ45" t="e">
        <f>AND(Calculations!#REF!,"AAAAAGX///o=")</f>
        <v>#REF!</v>
      </c>
      <c r="IR45" t="e">
        <f>AND(Calculations!#REF!,"AAAAAGX///s=")</f>
        <v>#REF!</v>
      </c>
      <c r="IS45" t="e">
        <f>AND(Calculations!#REF!,"AAAAAGX///w=")</f>
        <v>#REF!</v>
      </c>
      <c r="IT45" t="e">
        <f>AND(Calculations!#REF!,"AAAAAGX///0=")</f>
        <v>#REF!</v>
      </c>
      <c r="IU45" t="e">
        <f>AND(Calculations!#REF!,"AAAAAGX///4=")</f>
        <v>#REF!</v>
      </c>
      <c r="IV45" t="e">
        <f>AND(Calculations!#REF!,"AAAAAGX///8=")</f>
        <v>#REF!</v>
      </c>
    </row>
    <row r="46" spans="1:256">
      <c r="A46" t="e">
        <f>AND(Calculations!#REF!,"AAAAAF/NewA=")</f>
        <v>#REF!</v>
      </c>
      <c r="B46" t="e">
        <f>IF(Calculations!#REF!,"AAAAAF/NewE=",0)</f>
        <v>#REF!</v>
      </c>
      <c r="C46" t="e">
        <f>AND(Calculations!#REF!,"AAAAAF/NewI=")</f>
        <v>#REF!</v>
      </c>
      <c r="D46" t="e">
        <f>AND(Calculations!#REF!,"AAAAAF/NewM=")</f>
        <v>#REF!</v>
      </c>
      <c r="E46" t="e">
        <f>AND(Calculations!#REF!,"AAAAAF/NewQ=")</f>
        <v>#REF!</v>
      </c>
      <c r="F46" t="e">
        <f>AND(Calculations!#REF!,"AAAAAF/NewU=")</f>
        <v>#REF!</v>
      </c>
      <c r="G46" t="e">
        <f>AND(Calculations!#REF!,"AAAAAF/NewY=")</f>
        <v>#REF!</v>
      </c>
      <c r="H46" t="e">
        <f>AND(Calculations!#REF!,"AAAAAF/Newc=")</f>
        <v>#REF!</v>
      </c>
      <c r="I46" t="e">
        <f>AND(Calculations!#REF!,"AAAAAF/Newg=")</f>
        <v>#REF!</v>
      </c>
      <c r="J46" t="e">
        <f>AND(Calculations!#REF!,"AAAAAF/Newk=")</f>
        <v>#REF!</v>
      </c>
      <c r="K46" t="e">
        <f>AND(Calculations!#REF!,"AAAAAF/Newo=")</f>
        <v>#REF!</v>
      </c>
      <c r="L46" t="e">
        <f>AND(Calculations!#REF!,"AAAAAF/News=")</f>
        <v>#REF!</v>
      </c>
      <c r="M46" t="e">
        <f>AND(Calculations!#REF!,"AAAAAF/Neww=")</f>
        <v>#REF!</v>
      </c>
      <c r="N46" t="e">
        <f>AND(Calculations!#REF!,"AAAAAF/New0=")</f>
        <v>#REF!</v>
      </c>
      <c r="O46" t="e">
        <f>AND(Calculations!#REF!,"AAAAAF/New4=")</f>
        <v>#REF!</v>
      </c>
      <c r="P46" t="e">
        <f>AND(Calculations!#REF!,"AAAAAF/New8=")</f>
        <v>#REF!</v>
      </c>
      <c r="Q46" t="e">
        <f>AND(Calculations!#REF!,"AAAAAF/NexA=")</f>
        <v>#REF!</v>
      </c>
      <c r="R46" t="e">
        <f>AND(Calculations!#REF!,"AAAAAF/NexE=")</f>
        <v>#REF!</v>
      </c>
      <c r="S46" t="e">
        <f>AND(Calculations!#REF!,"AAAAAF/NexI=")</f>
        <v>#REF!</v>
      </c>
      <c r="T46" t="e">
        <f>AND(Calculations!#REF!,"AAAAAF/NexM=")</f>
        <v>#REF!</v>
      </c>
      <c r="U46" t="e">
        <f>AND(Calculations!#REF!,"AAAAAF/NexQ=")</f>
        <v>#REF!</v>
      </c>
      <c r="V46" t="e">
        <f>AND(Calculations!#REF!,"AAAAAF/NexU=")</f>
        <v>#REF!</v>
      </c>
      <c r="W46" t="e">
        <f>AND(Calculations!#REF!,"AAAAAF/NexY=")</f>
        <v>#REF!</v>
      </c>
      <c r="X46" t="e">
        <f>AND(Calculations!#REF!,"AAAAAF/Nexc=")</f>
        <v>#REF!</v>
      </c>
      <c r="Y46" t="e">
        <f>AND(Calculations!#REF!,"AAAAAF/Nexg=")</f>
        <v>#REF!</v>
      </c>
      <c r="Z46" t="e">
        <f>AND(Calculations!#REF!,"AAAAAF/Nexk=")</f>
        <v>#REF!</v>
      </c>
      <c r="AA46" t="e">
        <f>AND(Calculations!#REF!,"AAAAAF/Nexo=")</f>
        <v>#REF!</v>
      </c>
      <c r="AB46" t="e">
        <f>IF(Calculations!#REF!,"AAAAAF/Nexs=",0)</f>
        <v>#REF!</v>
      </c>
      <c r="AC46" t="e">
        <f>AND(Calculations!#REF!,"AAAAAF/Nexw=")</f>
        <v>#REF!</v>
      </c>
      <c r="AD46" t="e">
        <f>AND(Calculations!#REF!,"AAAAAF/Nex0=")</f>
        <v>#REF!</v>
      </c>
      <c r="AE46" t="e">
        <f>AND(Calculations!#REF!,"AAAAAF/Nex4=")</f>
        <v>#REF!</v>
      </c>
      <c r="AF46" t="e">
        <f>AND(Calculations!#REF!,"AAAAAF/Nex8=")</f>
        <v>#REF!</v>
      </c>
      <c r="AG46" t="e">
        <f>AND(Calculations!#REF!,"AAAAAF/NeyA=")</f>
        <v>#REF!</v>
      </c>
      <c r="AH46" t="e">
        <f>AND(Calculations!#REF!,"AAAAAF/NeyE=")</f>
        <v>#REF!</v>
      </c>
      <c r="AI46" t="e">
        <f>AND(Calculations!#REF!,"AAAAAF/NeyI=")</f>
        <v>#REF!</v>
      </c>
      <c r="AJ46" t="e">
        <f>AND(Calculations!#REF!,"AAAAAF/NeyM=")</f>
        <v>#REF!</v>
      </c>
      <c r="AK46" t="e">
        <f>AND(Calculations!#REF!,"AAAAAF/NeyQ=")</f>
        <v>#REF!</v>
      </c>
      <c r="AL46" t="e">
        <f>AND(Calculations!#REF!,"AAAAAF/NeyU=")</f>
        <v>#REF!</v>
      </c>
      <c r="AM46" t="e">
        <f>AND(Calculations!#REF!,"AAAAAF/NeyY=")</f>
        <v>#REF!</v>
      </c>
      <c r="AN46" t="e">
        <f>AND(Calculations!#REF!,"AAAAAF/Neyc=")</f>
        <v>#REF!</v>
      </c>
      <c r="AO46" t="e">
        <f>AND(Calculations!#REF!,"AAAAAF/Neyg=")</f>
        <v>#REF!</v>
      </c>
      <c r="AP46" t="e">
        <f>AND(Calculations!#REF!,"AAAAAF/Neyk=")</f>
        <v>#REF!</v>
      </c>
      <c r="AQ46" t="e">
        <f>AND(Calculations!#REF!,"AAAAAF/Neyo=")</f>
        <v>#REF!</v>
      </c>
      <c r="AR46" t="e">
        <f>AND(Calculations!#REF!,"AAAAAF/Neys=")</f>
        <v>#REF!</v>
      </c>
      <c r="AS46" t="e">
        <f>AND(Calculations!#REF!,"AAAAAF/Neyw=")</f>
        <v>#REF!</v>
      </c>
      <c r="AT46" t="e">
        <f>AND(Calculations!#REF!,"AAAAAF/Ney0=")</f>
        <v>#REF!</v>
      </c>
      <c r="AU46" t="e">
        <f>AND(Calculations!#REF!,"AAAAAF/Ney4=")</f>
        <v>#REF!</v>
      </c>
      <c r="AV46" t="e">
        <f>AND(Calculations!#REF!,"AAAAAF/Ney8=")</f>
        <v>#REF!</v>
      </c>
      <c r="AW46" t="e">
        <f>AND(Calculations!#REF!,"AAAAAF/NezA=")</f>
        <v>#REF!</v>
      </c>
      <c r="AX46" t="e">
        <f>AND(Calculations!#REF!,"AAAAAF/NezE=")</f>
        <v>#REF!</v>
      </c>
      <c r="AY46" t="e">
        <f>AND(Calculations!#REF!,"AAAAAF/NezI=")</f>
        <v>#REF!</v>
      </c>
      <c r="AZ46" t="e">
        <f>AND(Calculations!#REF!,"AAAAAF/NezM=")</f>
        <v>#REF!</v>
      </c>
      <c r="BA46" t="e">
        <f>AND(Calculations!#REF!,"AAAAAF/NezQ=")</f>
        <v>#REF!</v>
      </c>
      <c r="BB46" t="e">
        <f>IF(Calculations!#REF!,"AAAAAF/NezU=",0)</f>
        <v>#REF!</v>
      </c>
      <c r="BC46" t="e">
        <f>AND(Calculations!#REF!,"AAAAAF/NezY=")</f>
        <v>#REF!</v>
      </c>
      <c r="BD46" t="e">
        <f>AND(Calculations!#REF!,"AAAAAF/Nezc=")</f>
        <v>#REF!</v>
      </c>
      <c r="BE46" t="e">
        <f>AND(Calculations!#REF!,"AAAAAF/Nezg=")</f>
        <v>#REF!</v>
      </c>
      <c r="BF46" t="e">
        <f>AND(Calculations!#REF!,"AAAAAF/Nezk=")</f>
        <v>#REF!</v>
      </c>
      <c r="BG46" t="e">
        <f>AND(Calculations!#REF!,"AAAAAF/Nezo=")</f>
        <v>#REF!</v>
      </c>
      <c r="BH46" t="e">
        <f>AND(Calculations!#REF!,"AAAAAF/Nezs=")</f>
        <v>#REF!</v>
      </c>
      <c r="BI46" t="e">
        <f>AND(Calculations!#REF!,"AAAAAF/Nezw=")</f>
        <v>#REF!</v>
      </c>
      <c r="BJ46" t="e">
        <f>AND(Calculations!#REF!,"AAAAAF/Nez0=")</f>
        <v>#REF!</v>
      </c>
      <c r="BK46" t="e">
        <f>AND(Calculations!#REF!,"AAAAAF/Nez4=")</f>
        <v>#REF!</v>
      </c>
      <c r="BL46" t="e">
        <f>AND(Calculations!#REF!,"AAAAAF/Nez8=")</f>
        <v>#REF!</v>
      </c>
      <c r="BM46" t="e">
        <f>AND(Calculations!#REF!,"AAAAAF/Ne0A=")</f>
        <v>#REF!</v>
      </c>
      <c r="BN46" t="e">
        <f>AND(Calculations!#REF!,"AAAAAF/Ne0E=")</f>
        <v>#REF!</v>
      </c>
      <c r="BO46" t="e">
        <f>AND(Calculations!#REF!,"AAAAAF/Ne0I=")</f>
        <v>#REF!</v>
      </c>
      <c r="BP46" t="e">
        <f>AND(Calculations!#REF!,"AAAAAF/Ne0M=")</f>
        <v>#REF!</v>
      </c>
      <c r="BQ46" t="e">
        <f>AND(Calculations!#REF!,"AAAAAF/Ne0Q=")</f>
        <v>#REF!</v>
      </c>
      <c r="BR46" t="e">
        <f>AND(Calculations!#REF!,"AAAAAF/Ne0U=")</f>
        <v>#REF!</v>
      </c>
      <c r="BS46" t="e">
        <f>AND(Calculations!#REF!,"AAAAAF/Ne0Y=")</f>
        <v>#REF!</v>
      </c>
      <c r="BT46" t="e">
        <f>AND(Calculations!#REF!,"AAAAAF/Ne0c=")</f>
        <v>#REF!</v>
      </c>
      <c r="BU46" t="e">
        <f>AND(Calculations!#REF!,"AAAAAF/Ne0g=")</f>
        <v>#REF!</v>
      </c>
      <c r="BV46" t="e">
        <f>AND(Calculations!#REF!,"AAAAAF/Ne0k=")</f>
        <v>#REF!</v>
      </c>
      <c r="BW46" t="e">
        <f>AND(Calculations!#REF!,"AAAAAF/Ne0o=")</f>
        <v>#REF!</v>
      </c>
      <c r="BX46" t="e">
        <f>AND(Calculations!#REF!,"AAAAAF/Ne0s=")</f>
        <v>#REF!</v>
      </c>
      <c r="BY46" t="e">
        <f>AND(Calculations!#REF!,"AAAAAF/Ne0w=")</f>
        <v>#REF!</v>
      </c>
      <c r="BZ46" t="e">
        <f>AND(Calculations!#REF!,"AAAAAF/Ne00=")</f>
        <v>#REF!</v>
      </c>
      <c r="CA46" t="e">
        <f>AND(Calculations!#REF!,"AAAAAF/Ne04=")</f>
        <v>#REF!</v>
      </c>
      <c r="CB46">
        <f>IF(Calculations!20:20,"AAAAAF/Ne08=",0)</f>
        <v>0</v>
      </c>
      <c r="CC46" t="e">
        <f>AND(Calculations!#REF!,"AAAAAF/Ne1A=")</f>
        <v>#REF!</v>
      </c>
      <c r="CD46" t="e">
        <f>AND(Calculations!B20,"AAAAAF/Ne1E=")</f>
        <v>#VALUE!</v>
      </c>
      <c r="CE46" t="e">
        <f>AND(Calculations!C20,"AAAAAF/Ne1I=")</f>
        <v>#VALUE!</v>
      </c>
      <c r="CF46" t="e">
        <f>AND(Calculations!D20,"AAAAAF/Ne1M=")</f>
        <v>#VALUE!</v>
      </c>
      <c r="CG46" t="e">
        <f>AND(Calculations!E20,"AAAAAF/Ne1Q=")</f>
        <v>#VALUE!</v>
      </c>
      <c r="CH46" t="e">
        <f>AND(Calculations!F20,"AAAAAF/Ne1U=")</f>
        <v>#VALUE!</v>
      </c>
      <c r="CI46" t="e">
        <f>AND(Calculations!G20,"AAAAAF/Ne1Y=")</f>
        <v>#VALUE!</v>
      </c>
      <c r="CJ46" t="e">
        <f>AND(Calculations!H20,"AAAAAF/Ne1c=")</f>
        <v>#VALUE!</v>
      </c>
      <c r="CK46" t="e">
        <f>AND(Calculations!I20,"AAAAAF/Ne1g=")</f>
        <v>#VALUE!</v>
      </c>
      <c r="CL46" t="e">
        <f>AND(Calculations!J20,"AAAAAF/Ne1k=")</f>
        <v>#VALUE!</v>
      </c>
      <c r="CM46" t="e">
        <f>AND(Calculations!K20,"AAAAAF/Ne1o=")</f>
        <v>#VALUE!</v>
      </c>
      <c r="CN46" t="e">
        <f>AND(Calculations!L20,"AAAAAF/Ne1s=")</f>
        <v>#VALUE!</v>
      </c>
      <c r="CO46" t="e">
        <f>AND(Calculations!M20,"AAAAAF/Ne1w=")</f>
        <v>#VALUE!</v>
      </c>
      <c r="CP46" t="e">
        <f>AND(Calculations!N20,"AAAAAF/Ne10=")</f>
        <v>#VALUE!</v>
      </c>
      <c r="CQ46" t="e">
        <f>AND(Calculations!O20,"AAAAAF/Ne14=")</f>
        <v>#VALUE!</v>
      </c>
      <c r="CR46" t="e">
        <f>AND(Calculations!P20,"AAAAAF/Ne18=")</f>
        <v>#VALUE!</v>
      </c>
      <c r="CS46" t="e">
        <f>AND(Calculations!Q20,"AAAAAF/Ne2A=")</f>
        <v>#VALUE!</v>
      </c>
      <c r="CT46" t="e">
        <f>AND(Calculations!R20,"AAAAAF/Ne2E=")</f>
        <v>#VALUE!</v>
      </c>
      <c r="CU46" t="e">
        <f>AND(Calculations!S20,"AAAAAF/Ne2I=")</f>
        <v>#VALUE!</v>
      </c>
      <c r="CV46" t="e">
        <f>AND(Calculations!T20,"AAAAAF/Ne2M=")</f>
        <v>#VALUE!</v>
      </c>
      <c r="CW46" t="e">
        <f>AND(Calculations!U20,"AAAAAF/Ne2Q=")</f>
        <v>#VALUE!</v>
      </c>
      <c r="CX46" t="e">
        <f>AND(Calculations!V20,"AAAAAF/Ne2U=")</f>
        <v>#VALUE!</v>
      </c>
      <c r="CY46" t="e">
        <f>AND(Calculations!W20,"AAAAAF/Ne2Y=")</f>
        <v>#VALUE!</v>
      </c>
      <c r="CZ46" t="e">
        <f>AND(Calculations!X20,"AAAAAF/Ne2c=")</f>
        <v>#VALUE!</v>
      </c>
      <c r="DA46" t="e">
        <f>AND(Calculations!Y20,"AAAAAF/Ne2g=")</f>
        <v>#VALUE!</v>
      </c>
      <c r="DB46" t="e">
        <f>IF(Calculations!#REF!,"AAAAAF/Ne2k=",0)</f>
        <v>#REF!</v>
      </c>
      <c r="DC46" t="e">
        <f>AND(Calculations!#REF!,"AAAAAF/Ne2o=")</f>
        <v>#REF!</v>
      </c>
      <c r="DD46" t="e">
        <f>AND(Calculations!#REF!,"AAAAAF/Ne2s=")</f>
        <v>#REF!</v>
      </c>
      <c r="DE46" t="e">
        <f>AND(Calculations!#REF!,"AAAAAF/Ne2w=")</f>
        <v>#REF!</v>
      </c>
      <c r="DF46" t="e">
        <f>AND(Calculations!#REF!,"AAAAAF/Ne20=")</f>
        <v>#REF!</v>
      </c>
      <c r="DG46" t="e">
        <f>AND(Calculations!#REF!,"AAAAAF/Ne24=")</f>
        <v>#REF!</v>
      </c>
      <c r="DH46" t="e">
        <f>AND(Calculations!#REF!,"AAAAAF/Ne28=")</f>
        <v>#REF!</v>
      </c>
      <c r="DI46" t="e">
        <f>AND(Calculations!#REF!,"AAAAAF/Ne3A=")</f>
        <v>#REF!</v>
      </c>
      <c r="DJ46" t="e">
        <f>AND(Calculations!#REF!,"AAAAAF/Ne3E=")</f>
        <v>#REF!</v>
      </c>
      <c r="DK46" t="e">
        <f>AND(Calculations!#REF!,"AAAAAF/Ne3I=")</f>
        <v>#REF!</v>
      </c>
      <c r="DL46" t="e">
        <f>AND(Calculations!#REF!,"AAAAAF/Ne3M=")</f>
        <v>#REF!</v>
      </c>
      <c r="DM46" t="e">
        <f>AND(Calculations!#REF!,"AAAAAF/Ne3Q=")</f>
        <v>#REF!</v>
      </c>
      <c r="DN46" t="e">
        <f>AND(Calculations!#REF!,"AAAAAF/Ne3U=")</f>
        <v>#REF!</v>
      </c>
      <c r="DO46" t="e">
        <f>AND(Calculations!#REF!,"AAAAAF/Ne3Y=")</f>
        <v>#REF!</v>
      </c>
      <c r="DP46" t="e">
        <f>AND(Calculations!#REF!,"AAAAAF/Ne3c=")</f>
        <v>#REF!</v>
      </c>
      <c r="DQ46" t="e">
        <f>AND(Calculations!#REF!,"AAAAAF/Ne3g=")</f>
        <v>#REF!</v>
      </c>
      <c r="DR46" t="e">
        <f>AND(Calculations!#REF!,"AAAAAF/Ne3k=")</f>
        <v>#REF!</v>
      </c>
      <c r="DS46" t="e">
        <f>AND(Calculations!#REF!,"AAAAAF/Ne3o=")</f>
        <v>#REF!</v>
      </c>
      <c r="DT46" t="e">
        <f>AND(Calculations!#REF!,"AAAAAF/Ne3s=")</f>
        <v>#REF!</v>
      </c>
      <c r="DU46" t="e">
        <f>AND(Calculations!#REF!,"AAAAAF/Ne3w=")</f>
        <v>#REF!</v>
      </c>
      <c r="DV46" t="e">
        <f>AND(Calculations!#REF!,"AAAAAF/Ne30=")</f>
        <v>#REF!</v>
      </c>
      <c r="DW46" t="e">
        <f>AND(Calculations!#REF!,"AAAAAF/Ne34=")</f>
        <v>#REF!</v>
      </c>
      <c r="DX46" t="e">
        <f>AND(Calculations!#REF!,"AAAAAF/Ne38=")</f>
        <v>#REF!</v>
      </c>
      <c r="DY46" t="e">
        <f>AND(Calculations!#REF!,"AAAAAF/Ne4A=")</f>
        <v>#REF!</v>
      </c>
      <c r="DZ46" t="e">
        <f>AND(Calculations!#REF!,"AAAAAF/Ne4E=")</f>
        <v>#REF!</v>
      </c>
      <c r="EA46" t="e">
        <f>AND(Calculations!#REF!,"AAAAAF/Ne4I=")</f>
        <v>#REF!</v>
      </c>
      <c r="EB46" t="e">
        <f>IF(Calculations!#REF!,"AAAAAF/Ne4M=",0)</f>
        <v>#REF!</v>
      </c>
      <c r="EC46" t="e">
        <f>AND(Calculations!#REF!,"AAAAAF/Ne4Q=")</f>
        <v>#REF!</v>
      </c>
      <c r="ED46" t="e">
        <f>AND(Calculations!#REF!,"AAAAAF/Ne4U=")</f>
        <v>#REF!</v>
      </c>
      <c r="EE46" t="e">
        <f>AND(Calculations!#REF!,"AAAAAF/Ne4Y=")</f>
        <v>#REF!</v>
      </c>
      <c r="EF46" t="e">
        <f>AND(Calculations!#REF!,"AAAAAF/Ne4c=")</f>
        <v>#REF!</v>
      </c>
      <c r="EG46" t="e">
        <f>AND(Calculations!#REF!,"AAAAAF/Ne4g=")</f>
        <v>#REF!</v>
      </c>
      <c r="EH46" t="e">
        <f>AND(Calculations!#REF!,"AAAAAF/Ne4k=")</f>
        <v>#REF!</v>
      </c>
      <c r="EI46" t="e">
        <f>AND(Calculations!#REF!,"AAAAAF/Ne4o=")</f>
        <v>#REF!</v>
      </c>
      <c r="EJ46" t="e">
        <f>AND(Calculations!#REF!,"AAAAAF/Ne4s=")</f>
        <v>#REF!</v>
      </c>
      <c r="EK46" t="e">
        <f>AND(Calculations!#REF!,"AAAAAF/Ne4w=")</f>
        <v>#REF!</v>
      </c>
      <c r="EL46" t="e">
        <f>AND(Calculations!#REF!,"AAAAAF/Ne40=")</f>
        <v>#REF!</v>
      </c>
      <c r="EM46" t="e">
        <f>AND(Calculations!#REF!,"AAAAAF/Ne44=")</f>
        <v>#REF!</v>
      </c>
      <c r="EN46" t="e">
        <f>AND(Calculations!#REF!,"AAAAAF/Ne48=")</f>
        <v>#REF!</v>
      </c>
      <c r="EO46" t="e">
        <f>AND(Calculations!#REF!,"AAAAAF/Ne5A=")</f>
        <v>#REF!</v>
      </c>
      <c r="EP46" t="e">
        <f>AND(Calculations!#REF!,"AAAAAF/Ne5E=")</f>
        <v>#REF!</v>
      </c>
      <c r="EQ46" t="e">
        <f>AND(Calculations!#REF!,"AAAAAF/Ne5I=")</f>
        <v>#REF!</v>
      </c>
      <c r="ER46" t="e">
        <f>AND(Calculations!#REF!,"AAAAAF/Ne5M=")</f>
        <v>#REF!</v>
      </c>
      <c r="ES46" t="e">
        <f>AND(Calculations!#REF!,"AAAAAF/Ne5Q=")</f>
        <v>#REF!</v>
      </c>
      <c r="ET46" t="e">
        <f>AND(Calculations!#REF!,"AAAAAF/Ne5U=")</f>
        <v>#REF!</v>
      </c>
      <c r="EU46" t="e">
        <f>AND(Calculations!#REF!,"AAAAAF/Ne5Y=")</f>
        <v>#REF!</v>
      </c>
      <c r="EV46" t="e">
        <f>AND(Calculations!#REF!,"AAAAAF/Ne5c=")</f>
        <v>#REF!</v>
      </c>
      <c r="EW46" t="e">
        <f>AND(Calculations!#REF!,"AAAAAF/Ne5g=")</f>
        <v>#REF!</v>
      </c>
      <c r="EX46" t="e">
        <f>AND(Calculations!#REF!,"AAAAAF/Ne5k=")</f>
        <v>#REF!</v>
      </c>
      <c r="EY46" t="e">
        <f>AND(Calculations!#REF!,"AAAAAF/Ne5o=")</f>
        <v>#REF!</v>
      </c>
      <c r="EZ46" t="e">
        <f>AND(Calculations!#REF!,"AAAAAF/Ne5s=")</f>
        <v>#REF!</v>
      </c>
      <c r="FA46" t="e">
        <f>AND(Calculations!#REF!,"AAAAAF/Ne5w=")</f>
        <v>#REF!</v>
      </c>
      <c r="FB46" t="e">
        <f>IF(Calculations!#REF!,"AAAAAF/Ne50=",0)</f>
        <v>#REF!</v>
      </c>
      <c r="FC46" t="e">
        <f>AND(Calculations!#REF!,"AAAAAF/Ne54=")</f>
        <v>#REF!</v>
      </c>
      <c r="FD46" t="e">
        <f>AND(Calculations!#REF!,"AAAAAF/Ne58=")</f>
        <v>#REF!</v>
      </c>
      <c r="FE46" t="e">
        <f>AND(Calculations!#REF!,"AAAAAF/Ne6A=")</f>
        <v>#REF!</v>
      </c>
      <c r="FF46" t="e">
        <f>AND(Calculations!#REF!,"AAAAAF/Ne6E=")</f>
        <v>#REF!</v>
      </c>
      <c r="FG46" t="e">
        <f>AND(Calculations!#REF!,"AAAAAF/Ne6I=")</f>
        <v>#REF!</v>
      </c>
      <c r="FH46" t="e">
        <f>AND(Calculations!#REF!,"AAAAAF/Ne6M=")</f>
        <v>#REF!</v>
      </c>
      <c r="FI46" t="e">
        <f>AND(Calculations!#REF!,"AAAAAF/Ne6Q=")</f>
        <v>#REF!</v>
      </c>
      <c r="FJ46" t="e">
        <f>AND(Calculations!#REF!,"AAAAAF/Ne6U=")</f>
        <v>#REF!</v>
      </c>
      <c r="FK46" t="e">
        <f>AND(Calculations!#REF!,"AAAAAF/Ne6Y=")</f>
        <v>#REF!</v>
      </c>
      <c r="FL46" t="e">
        <f>AND(Calculations!#REF!,"AAAAAF/Ne6c=")</f>
        <v>#REF!</v>
      </c>
      <c r="FM46" t="e">
        <f>AND(Calculations!#REF!,"AAAAAF/Ne6g=")</f>
        <v>#REF!</v>
      </c>
      <c r="FN46" t="e">
        <f>AND(Calculations!#REF!,"AAAAAF/Ne6k=")</f>
        <v>#REF!</v>
      </c>
      <c r="FO46" t="e">
        <f>AND(Calculations!#REF!,"AAAAAF/Ne6o=")</f>
        <v>#REF!</v>
      </c>
      <c r="FP46" t="e">
        <f>AND(Calculations!#REF!,"AAAAAF/Ne6s=")</f>
        <v>#REF!</v>
      </c>
      <c r="FQ46" t="e">
        <f>AND(Calculations!#REF!,"AAAAAF/Ne6w=")</f>
        <v>#REF!</v>
      </c>
      <c r="FR46" t="e">
        <f>AND(Calculations!#REF!,"AAAAAF/Ne60=")</f>
        <v>#REF!</v>
      </c>
      <c r="FS46" t="e">
        <f>AND(Calculations!#REF!,"AAAAAF/Ne64=")</f>
        <v>#REF!</v>
      </c>
      <c r="FT46" t="e">
        <f>AND(Calculations!#REF!,"AAAAAF/Ne68=")</f>
        <v>#REF!</v>
      </c>
      <c r="FU46" t="e">
        <f>AND(Calculations!#REF!,"AAAAAF/Ne7A=")</f>
        <v>#REF!</v>
      </c>
      <c r="FV46" t="e">
        <f>AND(Calculations!#REF!,"AAAAAF/Ne7E=")</f>
        <v>#REF!</v>
      </c>
      <c r="FW46" t="e">
        <f>AND(Calculations!#REF!,"AAAAAF/Ne7I=")</f>
        <v>#REF!</v>
      </c>
      <c r="FX46" t="e">
        <f>AND(Calculations!#REF!,"AAAAAF/Ne7M=")</f>
        <v>#REF!</v>
      </c>
      <c r="FY46" t="e">
        <f>AND(Calculations!#REF!,"AAAAAF/Ne7Q=")</f>
        <v>#REF!</v>
      </c>
      <c r="FZ46" t="e">
        <f>AND(Calculations!#REF!,"AAAAAF/Ne7U=")</f>
        <v>#REF!</v>
      </c>
      <c r="GA46" t="e">
        <f>AND(Calculations!#REF!,"AAAAAF/Ne7Y=")</f>
        <v>#REF!</v>
      </c>
      <c r="GB46" t="e">
        <f>IF(Calculations!#REF!,"AAAAAF/Ne7c=",0)</f>
        <v>#REF!</v>
      </c>
      <c r="GC46" t="e">
        <f>AND(Calculations!#REF!,"AAAAAF/Ne7g=")</f>
        <v>#REF!</v>
      </c>
      <c r="GD46" t="e">
        <f>AND(Calculations!#REF!,"AAAAAF/Ne7k=")</f>
        <v>#REF!</v>
      </c>
      <c r="GE46" t="e">
        <f>AND(Calculations!#REF!,"AAAAAF/Ne7o=")</f>
        <v>#REF!</v>
      </c>
      <c r="GF46" t="e">
        <f>AND(Calculations!#REF!,"AAAAAF/Ne7s=")</f>
        <v>#REF!</v>
      </c>
      <c r="GG46" t="e">
        <f>AND(Calculations!#REF!,"AAAAAF/Ne7w=")</f>
        <v>#REF!</v>
      </c>
      <c r="GH46" t="e">
        <f>AND(Calculations!#REF!,"AAAAAF/Ne70=")</f>
        <v>#REF!</v>
      </c>
      <c r="GI46" t="e">
        <f>AND(Calculations!#REF!,"AAAAAF/Ne74=")</f>
        <v>#REF!</v>
      </c>
      <c r="GJ46" t="e">
        <f>AND(Calculations!#REF!,"AAAAAF/Ne78=")</f>
        <v>#REF!</v>
      </c>
      <c r="GK46" t="e">
        <f>AND(Calculations!#REF!,"AAAAAF/Ne8A=")</f>
        <v>#REF!</v>
      </c>
      <c r="GL46" t="e">
        <f>AND(Calculations!#REF!,"AAAAAF/Ne8E=")</f>
        <v>#REF!</v>
      </c>
      <c r="GM46" t="e">
        <f>AND(Calculations!#REF!,"AAAAAF/Ne8I=")</f>
        <v>#REF!</v>
      </c>
      <c r="GN46" t="e">
        <f>AND(Calculations!#REF!,"AAAAAF/Ne8M=")</f>
        <v>#REF!</v>
      </c>
      <c r="GO46" t="e">
        <f>AND(Calculations!#REF!,"AAAAAF/Ne8Q=")</f>
        <v>#REF!</v>
      </c>
      <c r="GP46" t="e">
        <f>AND(Calculations!#REF!,"AAAAAF/Ne8U=")</f>
        <v>#REF!</v>
      </c>
      <c r="GQ46" t="e">
        <f>AND(Calculations!#REF!,"AAAAAF/Ne8Y=")</f>
        <v>#REF!</v>
      </c>
      <c r="GR46" t="e">
        <f>AND(Calculations!#REF!,"AAAAAF/Ne8c=")</f>
        <v>#REF!</v>
      </c>
      <c r="GS46" t="e">
        <f>AND(Calculations!#REF!,"AAAAAF/Ne8g=")</f>
        <v>#REF!</v>
      </c>
      <c r="GT46" t="e">
        <f>AND(Calculations!#REF!,"AAAAAF/Ne8k=")</f>
        <v>#REF!</v>
      </c>
      <c r="GU46" t="e">
        <f>AND(Calculations!#REF!,"AAAAAF/Ne8o=")</f>
        <v>#REF!</v>
      </c>
      <c r="GV46" t="e">
        <f>AND(Calculations!#REF!,"AAAAAF/Ne8s=")</f>
        <v>#REF!</v>
      </c>
      <c r="GW46" t="e">
        <f>AND(Calculations!#REF!,"AAAAAF/Ne8w=")</f>
        <v>#REF!</v>
      </c>
      <c r="GX46" t="e">
        <f>AND(Calculations!#REF!,"AAAAAF/Ne80=")</f>
        <v>#REF!</v>
      </c>
      <c r="GY46" t="e">
        <f>AND(Calculations!#REF!,"AAAAAF/Ne84=")</f>
        <v>#REF!</v>
      </c>
      <c r="GZ46" t="e">
        <f>AND(Calculations!#REF!,"AAAAAF/Ne88=")</f>
        <v>#REF!</v>
      </c>
      <c r="HA46" t="e">
        <f>AND(Calculations!#REF!,"AAAAAF/Ne9A=")</f>
        <v>#REF!</v>
      </c>
      <c r="HB46" t="e">
        <f>IF(Calculations!#REF!,"AAAAAF/Ne9E=",0)</f>
        <v>#REF!</v>
      </c>
      <c r="HC46" t="e">
        <f>AND(Calculations!#REF!,"AAAAAF/Ne9I=")</f>
        <v>#REF!</v>
      </c>
      <c r="HD46" t="e">
        <f>AND(Calculations!#REF!,"AAAAAF/Ne9M=")</f>
        <v>#REF!</v>
      </c>
      <c r="HE46" t="e">
        <f>AND(Calculations!#REF!,"AAAAAF/Ne9Q=")</f>
        <v>#REF!</v>
      </c>
      <c r="HF46" t="e">
        <f>AND(Calculations!#REF!,"AAAAAF/Ne9U=")</f>
        <v>#REF!</v>
      </c>
      <c r="HG46" t="e">
        <f>AND(Calculations!#REF!,"AAAAAF/Ne9Y=")</f>
        <v>#REF!</v>
      </c>
      <c r="HH46" t="e">
        <f>AND(Calculations!#REF!,"AAAAAF/Ne9c=")</f>
        <v>#REF!</v>
      </c>
      <c r="HI46" t="e">
        <f>AND(Calculations!#REF!,"AAAAAF/Ne9g=")</f>
        <v>#REF!</v>
      </c>
      <c r="HJ46" t="e">
        <f>AND(Calculations!#REF!,"AAAAAF/Ne9k=")</f>
        <v>#REF!</v>
      </c>
      <c r="HK46" t="e">
        <f>AND(Calculations!#REF!,"AAAAAF/Ne9o=")</f>
        <v>#REF!</v>
      </c>
      <c r="HL46" t="e">
        <f>AND(Calculations!#REF!,"AAAAAF/Ne9s=")</f>
        <v>#REF!</v>
      </c>
      <c r="HM46" t="e">
        <f>AND(Calculations!#REF!,"AAAAAF/Ne9w=")</f>
        <v>#REF!</v>
      </c>
      <c r="HN46" t="e">
        <f>AND(Calculations!#REF!,"AAAAAF/Ne90=")</f>
        <v>#REF!</v>
      </c>
      <c r="HO46" t="e">
        <f>AND(Calculations!#REF!,"AAAAAF/Ne94=")</f>
        <v>#REF!</v>
      </c>
      <c r="HP46" t="e">
        <f>AND(Calculations!#REF!,"AAAAAF/Ne98=")</f>
        <v>#REF!</v>
      </c>
      <c r="HQ46" t="e">
        <f>AND(Calculations!#REF!,"AAAAAF/Ne+A=")</f>
        <v>#REF!</v>
      </c>
      <c r="HR46" t="e">
        <f>AND(Calculations!#REF!,"AAAAAF/Ne+E=")</f>
        <v>#REF!</v>
      </c>
      <c r="HS46" t="e">
        <f>AND(Calculations!#REF!,"AAAAAF/Ne+I=")</f>
        <v>#REF!</v>
      </c>
      <c r="HT46" t="e">
        <f>AND(Calculations!#REF!,"AAAAAF/Ne+M=")</f>
        <v>#REF!</v>
      </c>
      <c r="HU46" t="e">
        <f>AND(Calculations!#REF!,"AAAAAF/Ne+Q=")</f>
        <v>#REF!</v>
      </c>
      <c r="HV46" t="e">
        <f>AND(Calculations!#REF!,"AAAAAF/Ne+U=")</f>
        <v>#REF!</v>
      </c>
      <c r="HW46" t="e">
        <f>AND(Calculations!#REF!,"AAAAAF/Ne+Y=")</f>
        <v>#REF!</v>
      </c>
      <c r="HX46" t="e">
        <f>AND(Calculations!#REF!,"AAAAAF/Ne+c=")</f>
        <v>#REF!</v>
      </c>
      <c r="HY46" t="e">
        <f>AND(Calculations!#REF!,"AAAAAF/Ne+g=")</f>
        <v>#REF!</v>
      </c>
      <c r="HZ46" t="e">
        <f>AND(Calculations!#REF!,"AAAAAF/Ne+k=")</f>
        <v>#REF!</v>
      </c>
      <c r="IA46" t="e">
        <f>AND(Calculations!#REF!,"AAAAAF/Ne+o=")</f>
        <v>#REF!</v>
      </c>
      <c r="IB46" t="e">
        <f>IF(Calculations!#REF!,"AAAAAF/Ne+s=",0)</f>
        <v>#REF!</v>
      </c>
      <c r="IC46" t="e">
        <f>AND(Calculations!#REF!,"AAAAAF/Ne+w=")</f>
        <v>#REF!</v>
      </c>
      <c r="ID46" t="e">
        <f>AND(Calculations!#REF!,"AAAAAF/Ne+0=")</f>
        <v>#REF!</v>
      </c>
      <c r="IE46" t="e">
        <f>AND(Calculations!#REF!,"AAAAAF/Ne+4=")</f>
        <v>#REF!</v>
      </c>
      <c r="IF46" t="e">
        <f>AND(Calculations!#REF!,"AAAAAF/Ne+8=")</f>
        <v>#REF!</v>
      </c>
      <c r="IG46" t="e">
        <f>AND(Calculations!#REF!,"AAAAAF/Ne/A=")</f>
        <v>#REF!</v>
      </c>
      <c r="IH46" t="e">
        <f>AND(Calculations!#REF!,"AAAAAF/Ne/E=")</f>
        <v>#REF!</v>
      </c>
      <c r="II46" t="e">
        <f>AND(Calculations!#REF!,"AAAAAF/Ne/I=")</f>
        <v>#REF!</v>
      </c>
      <c r="IJ46" t="e">
        <f>AND(Calculations!#REF!,"AAAAAF/Ne/M=")</f>
        <v>#REF!</v>
      </c>
      <c r="IK46" t="e">
        <f>AND(Calculations!#REF!,"AAAAAF/Ne/Q=")</f>
        <v>#REF!</v>
      </c>
      <c r="IL46" t="e">
        <f>AND(Calculations!#REF!,"AAAAAF/Ne/U=")</f>
        <v>#REF!</v>
      </c>
      <c r="IM46" t="e">
        <f>AND(Calculations!#REF!,"AAAAAF/Ne/Y=")</f>
        <v>#REF!</v>
      </c>
      <c r="IN46" t="e">
        <f>AND(Calculations!#REF!,"AAAAAF/Ne/c=")</f>
        <v>#REF!</v>
      </c>
      <c r="IO46" t="e">
        <f>AND(Calculations!#REF!,"AAAAAF/Ne/g=")</f>
        <v>#REF!</v>
      </c>
      <c r="IP46" t="e">
        <f>AND(Calculations!#REF!,"AAAAAF/Ne/k=")</f>
        <v>#REF!</v>
      </c>
      <c r="IQ46" t="e">
        <f>AND(Calculations!#REF!,"AAAAAF/Ne/o=")</f>
        <v>#REF!</v>
      </c>
      <c r="IR46" t="e">
        <f>AND(Calculations!#REF!,"AAAAAF/Ne/s=")</f>
        <v>#REF!</v>
      </c>
      <c r="IS46" t="e">
        <f>AND(Calculations!#REF!,"AAAAAF/Ne/w=")</f>
        <v>#REF!</v>
      </c>
      <c r="IT46" t="e">
        <f>AND(Calculations!#REF!,"AAAAAF/Ne/0=")</f>
        <v>#REF!</v>
      </c>
      <c r="IU46" t="e">
        <f>AND(Calculations!#REF!,"AAAAAF/Ne/4=")</f>
        <v>#REF!</v>
      </c>
      <c r="IV46" t="e">
        <f>AND(Calculations!#REF!,"AAAAAF/Ne/8=")</f>
        <v>#REF!</v>
      </c>
    </row>
    <row r="47" spans="1:256">
      <c r="A47" t="e">
        <f>AND(Calculations!#REF!,"AAAAADV/vwA=")</f>
        <v>#REF!</v>
      </c>
      <c r="B47" t="e">
        <f>AND(Calculations!#REF!,"AAAAADV/vwE=")</f>
        <v>#REF!</v>
      </c>
      <c r="C47" t="e">
        <f>AND(Calculations!#REF!,"AAAAADV/vwI=")</f>
        <v>#REF!</v>
      </c>
      <c r="D47" t="e">
        <f>AND(Calculations!#REF!,"AAAAADV/vwM=")</f>
        <v>#REF!</v>
      </c>
      <c r="E47" t="e">
        <f>AND(Calculations!#REF!,"AAAAADV/vwQ=")</f>
        <v>#REF!</v>
      </c>
      <c r="F47" t="e">
        <f>IF(Calculations!#REF!,"AAAAADV/vwU=",0)</f>
        <v>#REF!</v>
      </c>
      <c r="G47" t="e">
        <f>AND(Calculations!#REF!,"AAAAADV/vwY=")</f>
        <v>#REF!</v>
      </c>
      <c r="H47" t="e">
        <f>AND(Calculations!#REF!,"AAAAADV/vwc=")</f>
        <v>#REF!</v>
      </c>
      <c r="I47" t="e">
        <f>AND(Calculations!#REF!,"AAAAADV/vwg=")</f>
        <v>#REF!</v>
      </c>
      <c r="J47" t="e">
        <f>AND(Calculations!#REF!,"AAAAADV/vwk=")</f>
        <v>#REF!</v>
      </c>
      <c r="K47" t="e">
        <f>AND(Calculations!#REF!,"AAAAADV/vwo=")</f>
        <v>#REF!</v>
      </c>
      <c r="L47" t="e">
        <f>AND(Calculations!#REF!,"AAAAADV/vws=")</f>
        <v>#REF!</v>
      </c>
      <c r="M47" t="e">
        <f>AND(Calculations!#REF!,"AAAAADV/vww=")</f>
        <v>#REF!</v>
      </c>
      <c r="N47" t="e">
        <f>AND(Calculations!#REF!,"AAAAADV/vw0=")</f>
        <v>#REF!</v>
      </c>
      <c r="O47" t="e">
        <f>AND(Calculations!#REF!,"AAAAADV/vw4=")</f>
        <v>#REF!</v>
      </c>
      <c r="P47" t="e">
        <f>AND(Calculations!#REF!,"AAAAADV/vw8=")</f>
        <v>#REF!</v>
      </c>
      <c r="Q47" t="e">
        <f>AND(Calculations!#REF!,"AAAAADV/vxA=")</f>
        <v>#REF!</v>
      </c>
      <c r="R47" t="e">
        <f>AND(Calculations!#REF!,"AAAAADV/vxE=")</f>
        <v>#REF!</v>
      </c>
      <c r="S47" t="e">
        <f>AND(Calculations!#REF!,"AAAAADV/vxI=")</f>
        <v>#REF!</v>
      </c>
      <c r="T47" t="e">
        <f>AND(Calculations!#REF!,"AAAAADV/vxM=")</f>
        <v>#REF!</v>
      </c>
      <c r="U47" t="e">
        <f>AND(Calculations!#REF!,"AAAAADV/vxQ=")</f>
        <v>#REF!</v>
      </c>
      <c r="V47" t="e">
        <f>AND(Calculations!#REF!,"AAAAADV/vxU=")</f>
        <v>#REF!</v>
      </c>
      <c r="W47" t="e">
        <f>AND(Calculations!#REF!,"AAAAADV/vxY=")</f>
        <v>#REF!</v>
      </c>
      <c r="X47" t="e">
        <f>AND(Calculations!#REF!,"AAAAADV/vxc=")</f>
        <v>#REF!</v>
      </c>
      <c r="Y47" t="e">
        <f>AND(Calculations!#REF!,"AAAAADV/vxg=")</f>
        <v>#REF!</v>
      </c>
      <c r="Z47" t="e">
        <f>AND(Calculations!#REF!,"AAAAADV/vxk=")</f>
        <v>#REF!</v>
      </c>
      <c r="AA47" t="e">
        <f>AND(Calculations!#REF!,"AAAAADV/vxo=")</f>
        <v>#REF!</v>
      </c>
      <c r="AB47" t="e">
        <f>AND(Calculations!#REF!,"AAAAADV/vxs=")</f>
        <v>#REF!</v>
      </c>
      <c r="AC47" t="e">
        <f>AND(Calculations!#REF!,"AAAAADV/vxw=")</f>
        <v>#REF!</v>
      </c>
      <c r="AD47" t="e">
        <f>AND(Calculations!#REF!,"AAAAADV/vx0=")</f>
        <v>#REF!</v>
      </c>
      <c r="AE47" t="e">
        <f>AND(Calculations!#REF!,"AAAAADV/vx4=")</f>
        <v>#REF!</v>
      </c>
      <c r="AF47" t="e">
        <f>IF(Calculations!#REF!,"AAAAADV/vx8=",0)</f>
        <v>#REF!</v>
      </c>
      <c r="AG47" t="e">
        <f>AND(Calculations!#REF!,"AAAAADV/vyA=")</f>
        <v>#REF!</v>
      </c>
      <c r="AH47" t="e">
        <f>AND(Calculations!#REF!,"AAAAADV/vyE=")</f>
        <v>#REF!</v>
      </c>
      <c r="AI47" t="e">
        <f>AND(Calculations!#REF!,"AAAAADV/vyI=")</f>
        <v>#REF!</v>
      </c>
      <c r="AJ47" t="e">
        <f>AND(Calculations!#REF!,"AAAAADV/vyM=")</f>
        <v>#REF!</v>
      </c>
      <c r="AK47" t="e">
        <f>AND(Calculations!#REF!,"AAAAADV/vyQ=")</f>
        <v>#REF!</v>
      </c>
      <c r="AL47" t="e">
        <f>AND(Calculations!#REF!,"AAAAADV/vyU=")</f>
        <v>#REF!</v>
      </c>
      <c r="AM47" t="e">
        <f>AND(Calculations!#REF!,"AAAAADV/vyY=")</f>
        <v>#REF!</v>
      </c>
      <c r="AN47" t="e">
        <f>AND(Calculations!#REF!,"AAAAADV/vyc=")</f>
        <v>#REF!</v>
      </c>
      <c r="AO47" t="e">
        <f>AND(Calculations!#REF!,"AAAAADV/vyg=")</f>
        <v>#REF!</v>
      </c>
      <c r="AP47" t="e">
        <f>AND(Calculations!#REF!,"AAAAADV/vyk=")</f>
        <v>#REF!</v>
      </c>
      <c r="AQ47" t="e">
        <f>AND(Calculations!#REF!,"AAAAADV/vyo=")</f>
        <v>#REF!</v>
      </c>
      <c r="AR47" t="e">
        <f>AND(Calculations!#REF!,"AAAAADV/vys=")</f>
        <v>#REF!</v>
      </c>
      <c r="AS47" t="e">
        <f>AND(Calculations!#REF!,"AAAAADV/vyw=")</f>
        <v>#REF!</v>
      </c>
      <c r="AT47" t="e">
        <f>AND(Calculations!#REF!,"AAAAADV/vy0=")</f>
        <v>#REF!</v>
      </c>
      <c r="AU47" t="e">
        <f>AND(Calculations!#REF!,"AAAAADV/vy4=")</f>
        <v>#REF!</v>
      </c>
      <c r="AV47" t="e">
        <f>AND(Calculations!#REF!,"AAAAADV/vy8=")</f>
        <v>#REF!</v>
      </c>
      <c r="AW47" t="e">
        <f>AND(Calculations!#REF!,"AAAAADV/vzA=")</f>
        <v>#REF!</v>
      </c>
      <c r="AX47" t="e">
        <f>AND(Calculations!#REF!,"AAAAADV/vzE=")</f>
        <v>#REF!</v>
      </c>
      <c r="AY47" t="e">
        <f>AND(Calculations!#REF!,"AAAAADV/vzI=")</f>
        <v>#REF!</v>
      </c>
      <c r="AZ47" t="e">
        <f>AND(Calculations!#REF!,"AAAAADV/vzM=")</f>
        <v>#REF!</v>
      </c>
      <c r="BA47" t="e">
        <f>AND(Calculations!#REF!,"AAAAADV/vzQ=")</f>
        <v>#REF!</v>
      </c>
      <c r="BB47" t="e">
        <f>AND(Calculations!#REF!,"AAAAADV/vzU=")</f>
        <v>#REF!</v>
      </c>
      <c r="BC47" t="e">
        <f>AND(Calculations!#REF!,"AAAAADV/vzY=")</f>
        <v>#REF!</v>
      </c>
      <c r="BD47" t="e">
        <f>AND(Calculations!#REF!,"AAAAADV/vzc=")</f>
        <v>#REF!</v>
      </c>
      <c r="BE47" t="e">
        <f>AND(Calculations!#REF!,"AAAAADV/vzg=")</f>
        <v>#REF!</v>
      </c>
      <c r="BF47" t="e">
        <f>IF(Calculations!#REF!,"AAAAADV/vzk=",0)</f>
        <v>#REF!</v>
      </c>
      <c r="BG47" t="e">
        <f>AND(Calculations!#REF!,"AAAAADV/vzo=")</f>
        <v>#REF!</v>
      </c>
      <c r="BH47" t="e">
        <f>AND(Calculations!#REF!,"AAAAADV/vzs=")</f>
        <v>#REF!</v>
      </c>
      <c r="BI47" t="e">
        <f>AND(Calculations!#REF!,"AAAAADV/vzw=")</f>
        <v>#REF!</v>
      </c>
      <c r="BJ47" t="e">
        <f>AND(Calculations!#REF!,"AAAAADV/vz0=")</f>
        <v>#REF!</v>
      </c>
      <c r="BK47" t="e">
        <f>AND(Calculations!#REF!,"AAAAADV/vz4=")</f>
        <v>#REF!</v>
      </c>
      <c r="BL47" t="e">
        <f>AND(Calculations!#REF!,"AAAAADV/vz8=")</f>
        <v>#REF!</v>
      </c>
      <c r="BM47" t="e">
        <f>AND(Calculations!#REF!,"AAAAADV/v0A=")</f>
        <v>#REF!</v>
      </c>
      <c r="BN47" t="e">
        <f>AND(Calculations!#REF!,"AAAAADV/v0E=")</f>
        <v>#REF!</v>
      </c>
      <c r="BO47" t="e">
        <f>AND(Calculations!#REF!,"AAAAADV/v0I=")</f>
        <v>#REF!</v>
      </c>
      <c r="BP47" t="e">
        <f>AND(Calculations!#REF!,"AAAAADV/v0M=")</f>
        <v>#REF!</v>
      </c>
      <c r="BQ47" t="e">
        <f>AND(Calculations!#REF!,"AAAAADV/v0Q=")</f>
        <v>#REF!</v>
      </c>
      <c r="BR47" t="e">
        <f>AND(Calculations!#REF!,"AAAAADV/v0U=")</f>
        <v>#REF!</v>
      </c>
      <c r="BS47" t="e">
        <f>AND(Calculations!#REF!,"AAAAADV/v0Y=")</f>
        <v>#REF!</v>
      </c>
      <c r="BT47" t="e">
        <f>AND(Calculations!#REF!,"AAAAADV/v0c=")</f>
        <v>#REF!</v>
      </c>
      <c r="BU47" t="e">
        <f>AND(Calculations!#REF!,"AAAAADV/v0g=")</f>
        <v>#REF!</v>
      </c>
      <c r="BV47" t="e">
        <f>AND(Calculations!#REF!,"AAAAADV/v0k=")</f>
        <v>#REF!</v>
      </c>
      <c r="BW47" t="e">
        <f>AND(Calculations!#REF!,"AAAAADV/v0o=")</f>
        <v>#REF!</v>
      </c>
      <c r="BX47" t="e">
        <f>AND(Calculations!#REF!,"AAAAADV/v0s=")</f>
        <v>#REF!</v>
      </c>
      <c r="BY47" t="e">
        <f>AND(Calculations!#REF!,"AAAAADV/v0w=")</f>
        <v>#REF!</v>
      </c>
      <c r="BZ47" t="e">
        <f>AND(Calculations!#REF!,"AAAAADV/v00=")</f>
        <v>#REF!</v>
      </c>
      <c r="CA47" t="e">
        <f>AND(Calculations!#REF!,"AAAAADV/v04=")</f>
        <v>#REF!</v>
      </c>
      <c r="CB47" t="e">
        <f>AND(Calculations!#REF!,"AAAAADV/v08=")</f>
        <v>#REF!</v>
      </c>
      <c r="CC47" t="e">
        <f>AND(Calculations!#REF!,"AAAAADV/v1A=")</f>
        <v>#REF!</v>
      </c>
      <c r="CD47" t="e">
        <f>AND(Calculations!#REF!,"AAAAADV/v1E=")</f>
        <v>#REF!</v>
      </c>
      <c r="CE47" t="e">
        <f>AND(Calculations!#REF!,"AAAAADV/v1I=")</f>
        <v>#REF!</v>
      </c>
      <c r="CF47" t="e">
        <f>IF(Calculations!#REF!,"AAAAADV/v1M=",0)</f>
        <v>#REF!</v>
      </c>
      <c r="CG47" t="e">
        <f>AND(Calculations!#REF!,"AAAAADV/v1Q=")</f>
        <v>#REF!</v>
      </c>
      <c r="CH47" t="e">
        <f>AND(Calculations!#REF!,"AAAAADV/v1U=")</f>
        <v>#REF!</v>
      </c>
      <c r="CI47" t="e">
        <f>AND(Calculations!#REF!,"AAAAADV/v1Y=")</f>
        <v>#REF!</v>
      </c>
      <c r="CJ47" t="e">
        <f>AND(Calculations!#REF!,"AAAAADV/v1c=")</f>
        <v>#REF!</v>
      </c>
      <c r="CK47" t="e">
        <f>AND(Calculations!#REF!,"AAAAADV/v1g=")</f>
        <v>#REF!</v>
      </c>
      <c r="CL47" t="e">
        <f>AND(Calculations!#REF!,"AAAAADV/v1k=")</f>
        <v>#REF!</v>
      </c>
      <c r="CM47" t="e">
        <f>AND(Calculations!#REF!,"AAAAADV/v1o=")</f>
        <v>#REF!</v>
      </c>
      <c r="CN47" t="e">
        <f>AND(Calculations!#REF!,"AAAAADV/v1s=")</f>
        <v>#REF!</v>
      </c>
      <c r="CO47" t="e">
        <f>AND(Calculations!#REF!,"AAAAADV/v1w=")</f>
        <v>#REF!</v>
      </c>
      <c r="CP47" t="e">
        <f>AND(Calculations!#REF!,"AAAAADV/v10=")</f>
        <v>#REF!</v>
      </c>
      <c r="CQ47" t="e">
        <f>AND(Calculations!#REF!,"AAAAADV/v14=")</f>
        <v>#REF!</v>
      </c>
      <c r="CR47" t="e">
        <f>AND(Calculations!#REF!,"AAAAADV/v18=")</f>
        <v>#REF!</v>
      </c>
      <c r="CS47" t="e">
        <f>AND(Calculations!#REF!,"AAAAADV/v2A=")</f>
        <v>#REF!</v>
      </c>
      <c r="CT47" t="e">
        <f>AND(Calculations!#REF!,"AAAAADV/v2E=")</f>
        <v>#REF!</v>
      </c>
      <c r="CU47" t="e">
        <f>AND(Calculations!#REF!,"AAAAADV/v2I=")</f>
        <v>#REF!</v>
      </c>
      <c r="CV47" t="e">
        <f>AND(Calculations!#REF!,"AAAAADV/v2M=")</f>
        <v>#REF!</v>
      </c>
      <c r="CW47" t="e">
        <f>AND(Calculations!#REF!,"AAAAADV/v2Q=")</f>
        <v>#REF!</v>
      </c>
      <c r="CX47" t="e">
        <f>AND(Calculations!#REF!,"AAAAADV/v2U=")</f>
        <v>#REF!</v>
      </c>
      <c r="CY47" t="e">
        <f>AND(Calculations!#REF!,"AAAAADV/v2Y=")</f>
        <v>#REF!</v>
      </c>
      <c r="CZ47" t="e">
        <f>AND(Calculations!#REF!,"AAAAADV/v2c=")</f>
        <v>#REF!</v>
      </c>
      <c r="DA47" t="e">
        <f>AND(Calculations!#REF!,"AAAAADV/v2g=")</f>
        <v>#REF!</v>
      </c>
      <c r="DB47" t="e">
        <f>AND(Calculations!#REF!,"AAAAADV/v2k=")</f>
        <v>#REF!</v>
      </c>
      <c r="DC47" t="e">
        <f>AND(Calculations!#REF!,"AAAAADV/v2o=")</f>
        <v>#REF!</v>
      </c>
      <c r="DD47" t="e">
        <f>AND(Calculations!#REF!,"AAAAADV/v2s=")</f>
        <v>#REF!</v>
      </c>
      <c r="DE47" t="e">
        <f>AND(Calculations!#REF!,"AAAAADV/v2w=")</f>
        <v>#REF!</v>
      </c>
      <c r="DF47" t="e">
        <f>IF(Calculations!#REF!,"AAAAADV/v20=",0)</f>
        <v>#REF!</v>
      </c>
      <c r="DG47" t="e">
        <f>AND(Calculations!#REF!,"AAAAADV/v24=")</f>
        <v>#REF!</v>
      </c>
      <c r="DH47" t="e">
        <f>AND(Calculations!#REF!,"AAAAADV/v28=")</f>
        <v>#REF!</v>
      </c>
      <c r="DI47" t="e">
        <f>AND(Calculations!#REF!,"AAAAADV/v3A=")</f>
        <v>#REF!</v>
      </c>
      <c r="DJ47" t="e">
        <f>AND(Calculations!#REF!,"AAAAADV/v3E=")</f>
        <v>#REF!</v>
      </c>
      <c r="DK47" t="e">
        <f>AND(Calculations!#REF!,"AAAAADV/v3I=")</f>
        <v>#REF!</v>
      </c>
      <c r="DL47" t="e">
        <f>AND(Calculations!#REF!,"AAAAADV/v3M=")</f>
        <v>#REF!</v>
      </c>
      <c r="DM47" t="e">
        <f>AND(Calculations!#REF!,"AAAAADV/v3Q=")</f>
        <v>#REF!</v>
      </c>
      <c r="DN47" t="e">
        <f>AND(Calculations!#REF!,"AAAAADV/v3U=")</f>
        <v>#REF!</v>
      </c>
      <c r="DO47" t="e">
        <f>AND(Calculations!#REF!,"AAAAADV/v3Y=")</f>
        <v>#REF!</v>
      </c>
      <c r="DP47" t="e">
        <f>AND(Calculations!#REF!,"AAAAADV/v3c=")</f>
        <v>#REF!</v>
      </c>
      <c r="DQ47" t="e">
        <f>AND(Calculations!#REF!,"AAAAADV/v3g=")</f>
        <v>#REF!</v>
      </c>
      <c r="DR47" t="e">
        <f>AND(Calculations!#REF!,"AAAAADV/v3k=")</f>
        <v>#REF!</v>
      </c>
      <c r="DS47" t="e">
        <f>AND(Calculations!#REF!,"AAAAADV/v3o=")</f>
        <v>#REF!</v>
      </c>
      <c r="DT47" t="e">
        <f>AND(Calculations!#REF!,"AAAAADV/v3s=")</f>
        <v>#REF!</v>
      </c>
      <c r="DU47" t="e">
        <f>AND(Calculations!#REF!,"AAAAADV/v3w=")</f>
        <v>#REF!</v>
      </c>
      <c r="DV47" t="e">
        <f>AND(Calculations!#REF!,"AAAAADV/v30=")</f>
        <v>#REF!</v>
      </c>
      <c r="DW47" t="e">
        <f>AND(Calculations!#REF!,"AAAAADV/v34=")</f>
        <v>#REF!</v>
      </c>
      <c r="DX47" t="e">
        <f>AND(Calculations!#REF!,"AAAAADV/v38=")</f>
        <v>#REF!</v>
      </c>
      <c r="DY47" t="e">
        <f>AND(Calculations!#REF!,"AAAAADV/v4A=")</f>
        <v>#REF!</v>
      </c>
      <c r="DZ47" t="e">
        <f>AND(Calculations!#REF!,"AAAAADV/v4E=")</f>
        <v>#REF!</v>
      </c>
      <c r="EA47" t="e">
        <f>AND(Calculations!#REF!,"AAAAADV/v4I=")</f>
        <v>#REF!</v>
      </c>
      <c r="EB47" t="e">
        <f>AND(Calculations!#REF!,"AAAAADV/v4M=")</f>
        <v>#REF!</v>
      </c>
      <c r="EC47" t="e">
        <f>AND(Calculations!#REF!,"AAAAADV/v4Q=")</f>
        <v>#REF!</v>
      </c>
      <c r="ED47" t="e">
        <f>AND(Calculations!#REF!,"AAAAADV/v4U=")</f>
        <v>#REF!</v>
      </c>
      <c r="EE47" t="e">
        <f>AND(Calculations!#REF!,"AAAAADV/v4Y=")</f>
        <v>#REF!</v>
      </c>
      <c r="EF47" t="e">
        <f>IF(Calculations!#REF!,"AAAAADV/v4c=",0)</f>
        <v>#REF!</v>
      </c>
      <c r="EG47" t="e">
        <f>AND(Calculations!#REF!,"AAAAADV/v4g=")</f>
        <v>#REF!</v>
      </c>
      <c r="EH47" t="e">
        <f>AND(Calculations!#REF!,"AAAAADV/v4k=")</f>
        <v>#REF!</v>
      </c>
      <c r="EI47" t="e">
        <f>AND(Calculations!#REF!,"AAAAADV/v4o=")</f>
        <v>#REF!</v>
      </c>
      <c r="EJ47" t="e">
        <f>AND(Calculations!#REF!,"AAAAADV/v4s=")</f>
        <v>#REF!</v>
      </c>
      <c r="EK47" t="e">
        <f>AND(Calculations!#REF!,"AAAAADV/v4w=")</f>
        <v>#REF!</v>
      </c>
      <c r="EL47" t="e">
        <f>AND(Calculations!#REF!,"AAAAADV/v40=")</f>
        <v>#REF!</v>
      </c>
      <c r="EM47" t="e">
        <f>AND(Calculations!#REF!,"AAAAADV/v44=")</f>
        <v>#REF!</v>
      </c>
      <c r="EN47" t="e">
        <f>AND(Calculations!#REF!,"AAAAADV/v48=")</f>
        <v>#REF!</v>
      </c>
      <c r="EO47" t="e">
        <f>AND(Calculations!#REF!,"AAAAADV/v5A=")</f>
        <v>#REF!</v>
      </c>
      <c r="EP47" t="e">
        <f>AND(Calculations!#REF!,"AAAAADV/v5E=")</f>
        <v>#REF!</v>
      </c>
      <c r="EQ47" t="e">
        <f>AND(Calculations!#REF!,"AAAAADV/v5I=")</f>
        <v>#REF!</v>
      </c>
      <c r="ER47" t="e">
        <f>AND(Calculations!#REF!,"AAAAADV/v5M=")</f>
        <v>#REF!</v>
      </c>
      <c r="ES47" t="e">
        <f>AND(Calculations!#REF!,"AAAAADV/v5Q=")</f>
        <v>#REF!</v>
      </c>
      <c r="ET47" t="e">
        <f>AND(Calculations!#REF!,"AAAAADV/v5U=")</f>
        <v>#REF!</v>
      </c>
      <c r="EU47" t="e">
        <f>AND(Calculations!#REF!,"AAAAADV/v5Y=")</f>
        <v>#REF!</v>
      </c>
      <c r="EV47" t="e">
        <f>AND(Calculations!#REF!,"AAAAADV/v5c=")</f>
        <v>#REF!</v>
      </c>
      <c r="EW47" t="e">
        <f>AND(Calculations!#REF!,"AAAAADV/v5g=")</f>
        <v>#REF!</v>
      </c>
      <c r="EX47" t="e">
        <f>AND(Calculations!#REF!,"AAAAADV/v5k=")</f>
        <v>#REF!</v>
      </c>
      <c r="EY47" t="e">
        <f>AND(Calculations!#REF!,"AAAAADV/v5o=")</f>
        <v>#REF!</v>
      </c>
      <c r="EZ47" t="e">
        <f>AND(Calculations!#REF!,"AAAAADV/v5s=")</f>
        <v>#REF!</v>
      </c>
      <c r="FA47" t="e">
        <f>AND(Calculations!#REF!,"AAAAADV/v5w=")</f>
        <v>#REF!</v>
      </c>
      <c r="FB47" t="e">
        <f>AND(Calculations!#REF!,"AAAAADV/v50=")</f>
        <v>#REF!</v>
      </c>
      <c r="FC47" t="e">
        <f>AND(Calculations!#REF!,"AAAAADV/v54=")</f>
        <v>#REF!</v>
      </c>
      <c r="FD47" t="e">
        <f>AND(Calculations!#REF!,"AAAAADV/v58=")</f>
        <v>#REF!</v>
      </c>
      <c r="FE47" t="e">
        <f>AND(Calculations!#REF!,"AAAAADV/v6A=")</f>
        <v>#REF!</v>
      </c>
      <c r="FF47" t="e">
        <f>IF(Calculations!#REF!,"AAAAADV/v6E=",0)</f>
        <v>#REF!</v>
      </c>
      <c r="FG47" t="e">
        <f>AND(Calculations!#REF!,"AAAAADV/v6I=")</f>
        <v>#REF!</v>
      </c>
      <c r="FH47" t="e">
        <f>AND(Calculations!#REF!,"AAAAADV/v6M=")</f>
        <v>#REF!</v>
      </c>
      <c r="FI47" t="e">
        <f>AND(Calculations!#REF!,"AAAAADV/v6Q=")</f>
        <v>#REF!</v>
      </c>
      <c r="FJ47" t="e">
        <f>AND(Calculations!#REF!,"AAAAADV/v6U=")</f>
        <v>#REF!</v>
      </c>
      <c r="FK47" t="e">
        <f>AND(Calculations!#REF!,"AAAAADV/v6Y=")</f>
        <v>#REF!</v>
      </c>
      <c r="FL47" t="e">
        <f>AND(Calculations!#REF!,"AAAAADV/v6c=")</f>
        <v>#REF!</v>
      </c>
      <c r="FM47" t="e">
        <f>AND(Calculations!#REF!,"AAAAADV/v6g=")</f>
        <v>#REF!</v>
      </c>
      <c r="FN47" t="e">
        <f>AND(Calculations!#REF!,"AAAAADV/v6k=")</f>
        <v>#REF!</v>
      </c>
      <c r="FO47" t="e">
        <f>AND(Calculations!#REF!,"AAAAADV/v6o=")</f>
        <v>#REF!</v>
      </c>
      <c r="FP47" t="e">
        <f>AND(Calculations!#REF!,"AAAAADV/v6s=")</f>
        <v>#REF!</v>
      </c>
      <c r="FQ47" t="e">
        <f>AND(Calculations!#REF!,"AAAAADV/v6w=")</f>
        <v>#REF!</v>
      </c>
      <c r="FR47" t="e">
        <f>AND(Calculations!#REF!,"AAAAADV/v60=")</f>
        <v>#REF!</v>
      </c>
      <c r="FS47" t="e">
        <f>AND(Calculations!#REF!,"AAAAADV/v64=")</f>
        <v>#REF!</v>
      </c>
      <c r="FT47" t="e">
        <f>AND(Calculations!#REF!,"AAAAADV/v68=")</f>
        <v>#REF!</v>
      </c>
      <c r="FU47" t="e">
        <f>AND(Calculations!#REF!,"AAAAADV/v7A=")</f>
        <v>#REF!</v>
      </c>
      <c r="FV47" t="e">
        <f>AND(Calculations!#REF!,"AAAAADV/v7E=")</f>
        <v>#REF!</v>
      </c>
      <c r="FW47" t="e">
        <f>AND(Calculations!#REF!,"AAAAADV/v7I=")</f>
        <v>#REF!</v>
      </c>
      <c r="FX47" t="e">
        <f>AND(Calculations!#REF!,"AAAAADV/v7M=")</f>
        <v>#REF!</v>
      </c>
      <c r="FY47" t="e">
        <f>AND(Calculations!#REF!,"AAAAADV/v7Q=")</f>
        <v>#REF!</v>
      </c>
      <c r="FZ47" t="e">
        <f>AND(Calculations!#REF!,"AAAAADV/v7U=")</f>
        <v>#REF!</v>
      </c>
      <c r="GA47" t="e">
        <f>AND(Calculations!#REF!,"AAAAADV/v7Y=")</f>
        <v>#REF!</v>
      </c>
      <c r="GB47" t="e">
        <f>AND(Calculations!#REF!,"AAAAADV/v7c=")</f>
        <v>#REF!</v>
      </c>
      <c r="GC47" t="e">
        <f>AND(Calculations!#REF!,"AAAAADV/v7g=")</f>
        <v>#REF!</v>
      </c>
      <c r="GD47" t="e">
        <f>AND(Calculations!#REF!,"AAAAADV/v7k=")</f>
        <v>#REF!</v>
      </c>
      <c r="GE47" t="e">
        <f>AND(Calculations!#REF!,"AAAAADV/v7o=")</f>
        <v>#REF!</v>
      </c>
      <c r="GF47" t="e">
        <f>IF(Calculations!#REF!,"AAAAADV/v7s=",0)</f>
        <v>#REF!</v>
      </c>
      <c r="GG47" t="e">
        <f>AND(Calculations!#REF!,"AAAAADV/v7w=")</f>
        <v>#REF!</v>
      </c>
      <c r="GH47" t="e">
        <f>AND(Calculations!#REF!,"AAAAADV/v70=")</f>
        <v>#REF!</v>
      </c>
      <c r="GI47" t="e">
        <f>AND(Calculations!#REF!,"AAAAADV/v74=")</f>
        <v>#REF!</v>
      </c>
      <c r="GJ47" t="e">
        <f>AND(Calculations!#REF!,"AAAAADV/v78=")</f>
        <v>#REF!</v>
      </c>
      <c r="GK47" t="e">
        <f>AND(Calculations!#REF!,"AAAAADV/v8A=")</f>
        <v>#REF!</v>
      </c>
      <c r="GL47" t="e">
        <f>AND(Calculations!#REF!,"AAAAADV/v8E=")</f>
        <v>#REF!</v>
      </c>
      <c r="GM47" t="e">
        <f>AND(Calculations!#REF!,"AAAAADV/v8I=")</f>
        <v>#REF!</v>
      </c>
      <c r="GN47" t="e">
        <f>AND(Calculations!#REF!,"AAAAADV/v8M=")</f>
        <v>#REF!</v>
      </c>
      <c r="GO47" t="e">
        <f>AND(Calculations!#REF!,"AAAAADV/v8Q=")</f>
        <v>#REF!</v>
      </c>
      <c r="GP47" t="e">
        <f>AND(Calculations!#REF!,"AAAAADV/v8U=")</f>
        <v>#REF!</v>
      </c>
      <c r="GQ47" t="e">
        <f>AND(Calculations!#REF!,"AAAAADV/v8Y=")</f>
        <v>#REF!</v>
      </c>
      <c r="GR47" t="e">
        <f>AND(Calculations!#REF!,"AAAAADV/v8c=")</f>
        <v>#REF!</v>
      </c>
      <c r="GS47" t="e">
        <f>AND(Calculations!#REF!,"AAAAADV/v8g=")</f>
        <v>#REF!</v>
      </c>
      <c r="GT47" t="e">
        <f>AND(Calculations!#REF!,"AAAAADV/v8k=")</f>
        <v>#REF!</v>
      </c>
      <c r="GU47" t="e">
        <f>AND(Calculations!#REF!,"AAAAADV/v8o=")</f>
        <v>#REF!</v>
      </c>
      <c r="GV47" t="e">
        <f>AND(Calculations!#REF!,"AAAAADV/v8s=")</f>
        <v>#REF!</v>
      </c>
      <c r="GW47" t="e">
        <f>AND(Calculations!#REF!,"AAAAADV/v8w=")</f>
        <v>#REF!</v>
      </c>
      <c r="GX47" t="e">
        <f>AND(Calculations!#REF!,"AAAAADV/v80=")</f>
        <v>#REF!</v>
      </c>
      <c r="GY47" t="e">
        <f>AND(Calculations!#REF!,"AAAAADV/v84=")</f>
        <v>#REF!</v>
      </c>
      <c r="GZ47" t="e">
        <f>AND(Calculations!#REF!,"AAAAADV/v88=")</f>
        <v>#REF!</v>
      </c>
      <c r="HA47" t="e">
        <f>AND(Calculations!#REF!,"AAAAADV/v9A=")</f>
        <v>#REF!</v>
      </c>
      <c r="HB47" t="e">
        <f>AND(Calculations!#REF!,"AAAAADV/v9E=")</f>
        <v>#REF!</v>
      </c>
      <c r="HC47" t="e">
        <f>AND(Calculations!#REF!,"AAAAADV/v9I=")</f>
        <v>#REF!</v>
      </c>
      <c r="HD47" t="e">
        <f>AND(Calculations!#REF!,"AAAAADV/v9M=")</f>
        <v>#REF!</v>
      </c>
      <c r="HE47" t="e">
        <f>AND(Calculations!#REF!,"AAAAADV/v9Q=")</f>
        <v>#REF!</v>
      </c>
      <c r="HF47" t="e">
        <f>IF(Calculations!#REF!,"AAAAADV/v9U=",0)</f>
        <v>#REF!</v>
      </c>
      <c r="HG47" t="e">
        <f>AND(Calculations!#REF!,"AAAAADV/v9Y=")</f>
        <v>#REF!</v>
      </c>
      <c r="HH47" t="e">
        <f>AND(Calculations!#REF!,"AAAAADV/v9c=")</f>
        <v>#REF!</v>
      </c>
      <c r="HI47" t="e">
        <f>AND(Calculations!#REF!,"AAAAADV/v9g=")</f>
        <v>#REF!</v>
      </c>
      <c r="HJ47" t="e">
        <f>AND(Calculations!#REF!,"AAAAADV/v9k=")</f>
        <v>#REF!</v>
      </c>
      <c r="HK47" t="e">
        <f>AND(Calculations!#REF!,"AAAAADV/v9o=")</f>
        <v>#REF!</v>
      </c>
      <c r="HL47" t="e">
        <f>AND(Calculations!#REF!,"AAAAADV/v9s=")</f>
        <v>#REF!</v>
      </c>
      <c r="HM47" t="e">
        <f>AND(Calculations!#REF!,"AAAAADV/v9w=")</f>
        <v>#REF!</v>
      </c>
      <c r="HN47" t="e">
        <f>AND(Calculations!#REF!,"AAAAADV/v90=")</f>
        <v>#REF!</v>
      </c>
      <c r="HO47" t="e">
        <f>AND(Calculations!#REF!,"AAAAADV/v94=")</f>
        <v>#REF!</v>
      </c>
      <c r="HP47" t="e">
        <f>AND(Calculations!#REF!,"AAAAADV/v98=")</f>
        <v>#REF!</v>
      </c>
      <c r="HQ47" t="e">
        <f>AND(Calculations!#REF!,"AAAAADV/v+A=")</f>
        <v>#REF!</v>
      </c>
      <c r="HR47" t="e">
        <f>AND(Calculations!#REF!,"AAAAADV/v+E=")</f>
        <v>#REF!</v>
      </c>
      <c r="HS47" t="e">
        <f>AND(Calculations!#REF!,"AAAAADV/v+I=")</f>
        <v>#REF!</v>
      </c>
      <c r="HT47" t="e">
        <f>AND(Calculations!#REF!,"AAAAADV/v+M=")</f>
        <v>#REF!</v>
      </c>
      <c r="HU47" t="e">
        <f>AND(Calculations!#REF!,"AAAAADV/v+Q=")</f>
        <v>#REF!</v>
      </c>
      <c r="HV47" t="e">
        <f>AND(Calculations!#REF!,"AAAAADV/v+U=")</f>
        <v>#REF!</v>
      </c>
      <c r="HW47" t="e">
        <f>AND(Calculations!#REF!,"AAAAADV/v+Y=")</f>
        <v>#REF!</v>
      </c>
      <c r="HX47" t="e">
        <f>AND(Calculations!#REF!,"AAAAADV/v+c=")</f>
        <v>#REF!</v>
      </c>
      <c r="HY47" t="e">
        <f>AND(Calculations!#REF!,"AAAAADV/v+g=")</f>
        <v>#REF!</v>
      </c>
      <c r="HZ47" t="e">
        <f>AND(Calculations!#REF!,"AAAAADV/v+k=")</f>
        <v>#REF!</v>
      </c>
      <c r="IA47" t="e">
        <f>AND(Calculations!#REF!,"AAAAADV/v+o=")</f>
        <v>#REF!</v>
      </c>
      <c r="IB47" t="e">
        <f>AND(Calculations!#REF!,"AAAAADV/v+s=")</f>
        <v>#REF!</v>
      </c>
      <c r="IC47" t="e">
        <f>AND(Calculations!#REF!,"AAAAADV/v+w=")</f>
        <v>#REF!</v>
      </c>
      <c r="ID47" t="e">
        <f>AND(Calculations!#REF!,"AAAAADV/v+0=")</f>
        <v>#REF!</v>
      </c>
      <c r="IE47" t="e">
        <f>AND(Calculations!#REF!,"AAAAADV/v+4=")</f>
        <v>#REF!</v>
      </c>
      <c r="IF47" t="e">
        <f>IF(Calculations!#REF!,"AAAAADV/v+8=",0)</f>
        <v>#REF!</v>
      </c>
      <c r="IG47" t="e">
        <f>AND(Calculations!#REF!,"AAAAADV/v/A=")</f>
        <v>#REF!</v>
      </c>
      <c r="IH47" t="e">
        <f>AND(Calculations!#REF!,"AAAAADV/v/E=")</f>
        <v>#REF!</v>
      </c>
      <c r="II47" t="e">
        <f>AND(Calculations!#REF!,"AAAAADV/v/I=")</f>
        <v>#REF!</v>
      </c>
      <c r="IJ47" t="e">
        <f>AND(Calculations!#REF!,"AAAAADV/v/M=")</f>
        <v>#REF!</v>
      </c>
      <c r="IK47" t="e">
        <f>AND(Calculations!#REF!,"AAAAADV/v/Q=")</f>
        <v>#REF!</v>
      </c>
      <c r="IL47" t="e">
        <f>AND(Calculations!#REF!,"AAAAADV/v/U=")</f>
        <v>#REF!</v>
      </c>
      <c r="IM47" t="e">
        <f>AND(Calculations!#REF!,"AAAAADV/v/Y=")</f>
        <v>#REF!</v>
      </c>
      <c r="IN47" t="e">
        <f>AND(Calculations!#REF!,"AAAAADV/v/c=")</f>
        <v>#REF!</v>
      </c>
      <c r="IO47" t="e">
        <f>AND(Calculations!#REF!,"AAAAADV/v/g=")</f>
        <v>#REF!</v>
      </c>
      <c r="IP47" t="e">
        <f>AND(Calculations!#REF!,"AAAAADV/v/k=")</f>
        <v>#REF!</v>
      </c>
      <c r="IQ47" t="e">
        <f>AND(Calculations!#REF!,"AAAAADV/v/o=")</f>
        <v>#REF!</v>
      </c>
      <c r="IR47" t="e">
        <f>AND(Calculations!#REF!,"AAAAADV/v/s=")</f>
        <v>#REF!</v>
      </c>
      <c r="IS47" t="e">
        <f>AND(Calculations!#REF!,"AAAAADV/v/w=")</f>
        <v>#REF!</v>
      </c>
      <c r="IT47" t="e">
        <f>AND(Calculations!#REF!,"AAAAADV/v/0=")</f>
        <v>#REF!</v>
      </c>
      <c r="IU47" t="e">
        <f>AND(Calculations!#REF!,"AAAAADV/v/4=")</f>
        <v>#REF!</v>
      </c>
      <c r="IV47" t="e">
        <f>AND(Calculations!#REF!,"AAAAADV/v/8=")</f>
        <v>#REF!</v>
      </c>
    </row>
    <row r="48" spans="1:256">
      <c r="A48" t="e">
        <f>AND(Calculations!#REF!,"AAAAAG+/ZgA=")</f>
        <v>#REF!</v>
      </c>
      <c r="B48" t="e">
        <f>AND(Calculations!#REF!,"AAAAAG+/ZgE=")</f>
        <v>#REF!</v>
      </c>
      <c r="C48" t="e">
        <f>AND(Calculations!#REF!,"AAAAAG+/ZgI=")</f>
        <v>#REF!</v>
      </c>
      <c r="D48" t="e">
        <f>AND(Calculations!#REF!,"AAAAAG+/ZgM=")</f>
        <v>#REF!</v>
      </c>
      <c r="E48" t="e">
        <f>AND(Calculations!#REF!,"AAAAAG+/ZgQ=")</f>
        <v>#REF!</v>
      </c>
      <c r="F48" t="e">
        <f>AND(Calculations!#REF!,"AAAAAG+/ZgU=")</f>
        <v>#REF!</v>
      </c>
      <c r="G48" t="e">
        <f>AND(Calculations!#REF!,"AAAAAG+/ZgY=")</f>
        <v>#REF!</v>
      </c>
      <c r="H48" t="e">
        <f>AND(Calculations!#REF!,"AAAAAG+/Zgc=")</f>
        <v>#REF!</v>
      </c>
      <c r="I48" t="e">
        <f>AND(Calculations!#REF!,"AAAAAG+/Zgg=")</f>
        <v>#REF!</v>
      </c>
      <c r="J48" t="e">
        <f>IF(Calculations!#REF!,"AAAAAG+/Zgk=",0)</f>
        <v>#REF!</v>
      </c>
      <c r="K48" t="e">
        <f>AND(Calculations!#REF!,"AAAAAG+/Zgo=")</f>
        <v>#REF!</v>
      </c>
      <c r="L48" t="e">
        <f>AND(Calculations!#REF!,"AAAAAG+/Zgs=")</f>
        <v>#REF!</v>
      </c>
      <c r="M48" t="e">
        <f>AND(Calculations!#REF!,"AAAAAG+/Zgw=")</f>
        <v>#REF!</v>
      </c>
      <c r="N48" t="e">
        <f>AND(Calculations!#REF!,"AAAAAG+/Zg0=")</f>
        <v>#REF!</v>
      </c>
      <c r="O48" t="e">
        <f>AND(Calculations!#REF!,"AAAAAG+/Zg4=")</f>
        <v>#REF!</v>
      </c>
      <c r="P48" t="e">
        <f>AND(Calculations!#REF!,"AAAAAG+/Zg8=")</f>
        <v>#REF!</v>
      </c>
      <c r="Q48" t="e">
        <f>AND(Calculations!#REF!,"AAAAAG+/ZhA=")</f>
        <v>#REF!</v>
      </c>
      <c r="R48" t="e">
        <f>AND(Calculations!#REF!,"AAAAAG+/ZhE=")</f>
        <v>#REF!</v>
      </c>
      <c r="S48" t="e">
        <f>AND(Calculations!#REF!,"AAAAAG+/ZhI=")</f>
        <v>#REF!</v>
      </c>
      <c r="T48" t="e">
        <f>AND(Calculations!#REF!,"AAAAAG+/ZhM=")</f>
        <v>#REF!</v>
      </c>
      <c r="U48" t="e">
        <f>AND(Calculations!#REF!,"AAAAAG+/ZhQ=")</f>
        <v>#REF!</v>
      </c>
      <c r="V48" t="e">
        <f>AND(Calculations!#REF!,"AAAAAG+/ZhU=")</f>
        <v>#REF!</v>
      </c>
      <c r="W48" t="e">
        <f>AND(Calculations!#REF!,"AAAAAG+/ZhY=")</f>
        <v>#REF!</v>
      </c>
      <c r="X48" t="e">
        <f>AND(Calculations!#REF!,"AAAAAG+/Zhc=")</f>
        <v>#REF!</v>
      </c>
      <c r="Y48" t="e">
        <f>AND(Calculations!#REF!,"AAAAAG+/Zhg=")</f>
        <v>#REF!</v>
      </c>
      <c r="Z48" t="e">
        <f>AND(Calculations!#REF!,"AAAAAG+/Zhk=")</f>
        <v>#REF!</v>
      </c>
      <c r="AA48" t="e">
        <f>AND(Calculations!#REF!,"AAAAAG+/Zho=")</f>
        <v>#REF!</v>
      </c>
      <c r="AB48" t="e">
        <f>AND(Calculations!#REF!,"AAAAAG+/Zhs=")</f>
        <v>#REF!</v>
      </c>
      <c r="AC48" t="e">
        <f>AND(Calculations!#REF!,"AAAAAG+/Zhw=")</f>
        <v>#REF!</v>
      </c>
      <c r="AD48" t="e">
        <f>AND(Calculations!#REF!,"AAAAAG+/Zh0=")</f>
        <v>#REF!</v>
      </c>
      <c r="AE48" t="e">
        <f>AND(Calculations!#REF!,"AAAAAG+/Zh4=")</f>
        <v>#REF!</v>
      </c>
      <c r="AF48" t="e">
        <f>AND(Calculations!#REF!,"AAAAAG+/Zh8=")</f>
        <v>#REF!</v>
      </c>
      <c r="AG48" t="e">
        <f>AND(Calculations!#REF!,"AAAAAG+/ZiA=")</f>
        <v>#REF!</v>
      </c>
      <c r="AH48" t="e">
        <f>AND(Calculations!#REF!,"AAAAAG+/ZiE=")</f>
        <v>#REF!</v>
      </c>
      <c r="AI48" t="e">
        <f>AND(Calculations!#REF!,"AAAAAG+/ZiI=")</f>
        <v>#REF!</v>
      </c>
      <c r="AJ48" t="e">
        <f>IF(Calculations!#REF!,"AAAAAG+/ZiM=",0)</f>
        <v>#REF!</v>
      </c>
      <c r="AK48" t="e">
        <f>AND(Calculations!#REF!,"AAAAAG+/ZiQ=")</f>
        <v>#REF!</v>
      </c>
      <c r="AL48" t="e">
        <f>AND(Calculations!#REF!,"AAAAAG+/ZiU=")</f>
        <v>#REF!</v>
      </c>
      <c r="AM48" t="e">
        <f>AND(Calculations!#REF!,"AAAAAG+/ZiY=")</f>
        <v>#REF!</v>
      </c>
      <c r="AN48" t="e">
        <f>AND(Calculations!#REF!,"AAAAAG+/Zic=")</f>
        <v>#REF!</v>
      </c>
      <c r="AO48" t="e">
        <f>AND(Calculations!#REF!,"AAAAAG+/Zig=")</f>
        <v>#REF!</v>
      </c>
      <c r="AP48" t="e">
        <f>AND(Calculations!#REF!,"AAAAAG+/Zik=")</f>
        <v>#REF!</v>
      </c>
      <c r="AQ48" t="e">
        <f>AND(Calculations!#REF!,"AAAAAG+/Zio=")</f>
        <v>#REF!</v>
      </c>
      <c r="AR48" t="e">
        <f>AND(Calculations!#REF!,"AAAAAG+/Zis=")</f>
        <v>#REF!</v>
      </c>
      <c r="AS48" t="e">
        <f>AND(Calculations!#REF!,"AAAAAG+/Ziw=")</f>
        <v>#REF!</v>
      </c>
      <c r="AT48" t="e">
        <f>AND(Calculations!#REF!,"AAAAAG+/Zi0=")</f>
        <v>#REF!</v>
      </c>
      <c r="AU48" t="e">
        <f>AND(Calculations!#REF!,"AAAAAG+/Zi4=")</f>
        <v>#REF!</v>
      </c>
      <c r="AV48" t="e">
        <f>AND(Calculations!#REF!,"AAAAAG+/Zi8=")</f>
        <v>#REF!</v>
      </c>
      <c r="AW48" t="e">
        <f>AND(Calculations!#REF!,"AAAAAG+/ZjA=")</f>
        <v>#REF!</v>
      </c>
      <c r="AX48" t="e">
        <f>AND(Calculations!#REF!,"AAAAAG+/ZjE=")</f>
        <v>#REF!</v>
      </c>
      <c r="AY48" t="e">
        <f>AND(Calculations!#REF!,"AAAAAG+/ZjI=")</f>
        <v>#REF!</v>
      </c>
      <c r="AZ48" t="e">
        <f>AND(Calculations!#REF!,"AAAAAG+/ZjM=")</f>
        <v>#REF!</v>
      </c>
      <c r="BA48" t="e">
        <f>AND(Calculations!#REF!,"AAAAAG+/ZjQ=")</f>
        <v>#REF!</v>
      </c>
      <c r="BB48" t="e">
        <f>AND(Calculations!#REF!,"AAAAAG+/ZjU=")</f>
        <v>#REF!</v>
      </c>
      <c r="BC48" t="e">
        <f>AND(Calculations!#REF!,"AAAAAG+/ZjY=")</f>
        <v>#REF!</v>
      </c>
      <c r="BD48" t="e">
        <f>AND(Calculations!#REF!,"AAAAAG+/Zjc=")</f>
        <v>#REF!</v>
      </c>
      <c r="BE48" t="e">
        <f>AND(Calculations!#REF!,"AAAAAG+/Zjg=")</f>
        <v>#REF!</v>
      </c>
      <c r="BF48" t="e">
        <f>AND(Calculations!#REF!,"AAAAAG+/Zjk=")</f>
        <v>#REF!</v>
      </c>
      <c r="BG48" t="e">
        <f>AND(Calculations!#REF!,"AAAAAG+/Zjo=")</f>
        <v>#REF!</v>
      </c>
      <c r="BH48" t="e">
        <f>AND(Calculations!#REF!,"AAAAAG+/Zjs=")</f>
        <v>#REF!</v>
      </c>
      <c r="BI48" t="e">
        <f>AND(Calculations!#REF!,"AAAAAG+/Zjw=")</f>
        <v>#REF!</v>
      </c>
      <c r="BJ48" t="e">
        <f>IF(Calculations!#REF!,"AAAAAG+/Zj0=",0)</f>
        <v>#REF!</v>
      </c>
      <c r="BK48" t="e">
        <f>AND(Calculations!#REF!,"AAAAAG+/Zj4=")</f>
        <v>#REF!</v>
      </c>
      <c r="BL48" t="e">
        <f>AND(Calculations!#REF!,"AAAAAG+/Zj8=")</f>
        <v>#REF!</v>
      </c>
      <c r="BM48" t="e">
        <f>AND(Calculations!#REF!,"AAAAAG+/ZkA=")</f>
        <v>#REF!</v>
      </c>
      <c r="BN48" t="e">
        <f>AND(Calculations!#REF!,"AAAAAG+/ZkE=")</f>
        <v>#REF!</v>
      </c>
      <c r="BO48" t="e">
        <f>AND(Calculations!#REF!,"AAAAAG+/ZkI=")</f>
        <v>#REF!</v>
      </c>
      <c r="BP48" t="e">
        <f>AND(Calculations!#REF!,"AAAAAG+/ZkM=")</f>
        <v>#REF!</v>
      </c>
      <c r="BQ48" t="e">
        <f>AND(Calculations!#REF!,"AAAAAG+/ZkQ=")</f>
        <v>#REF!</v>
      </c>
      <c r="BR48" t="e">
        <f>AND(Calculations!#REF!,"AAAAAG+/ZkU=")</f>
        <v>#REF!</v>
      </c>
      <c r="BS48" t="e">
        <f>AND(Calculations!#REF!,"AAAAAG+/ZkY=")</f>
        <v>#REF!</v>
      </c>
      <c r="BT48" t="e">
        <f>AND(Calculations!#REF!,"AAAAAG+/Zkc=")</f>
        <v>#REF!</v>
      </c>
      <c r="BU48" t="e">
        <f>AND(Calculations!#REF!,"AAAAAG+/Zkg=")</f>
        <v>#REF!</v>
      </c>
      <c r="BV48" t="e">
        <f>AND(Calculations!#REF!,"AAAAAG+/Zkk=")</f>
        <v>#REF!</v>
      </c>
      <c r="BW48" t="e">
        <f>AND(Calculations!#REF!,"AAAAAG+/Zko=")</f>
        <v>#REF!</v>
      </c>
      <c r="BX48" t="e">
        <f>AND(Calculations!#REF!,"AAAAAG+/Zks=")</f>
        <v>#REF!</v>
      </c>
      <c r="BY48" t="e">
        <f>AND(Calculations!#REF!,"AAAAAG+/Zkw=")</f>
        <v>#REF!</v>
      </c>
      <c r="BZ48" t="e">
        <f>AND(Calculations!#REF!,"AAAAAG+/Zk0=")</f>
        <v>#REF!</v>
      </c>
      <c r="CA48" t="e">
        <f>AND(Calculations!#REF!,"AAAAAG+/Zk4=")</f>
        <v>#REF!</v>
      </c>
      <c r="CB48" t="e">
        <f>AND(Calculations!#REF!,"AAAAAG+/Zk8=")</f>
        <v>#REF!</v>
      </c>
      <c r="CC48" t="e">
        <f>AND(Calculations!#REF!,"AAAAAG+/ZlA=")</f>
        <v>#REF!</v>
      </c>
      <c r="CD48" t="e">
        <f>AND(Calculations!#REF!,"AAAAAG+/ZlE=")</f>
        <v>#REF!</v>
      </c>
      <c r="CE48" t="e">
        <f>AND(Calculations!#REF!,"AAAAAG+/ZlI=")</f>
        <v>#REF!</v>
      </c>
      <c r="CF48" t="e">
        <f>AND(Calculations!#REF!,"AAAAAG+/ZlM=")</f>
        <v>#REF!</v>
      </c>
      <c r="CG48" t="e">
        <f>AND(Calculations!#REF!,"AAAAAG+/ZlQ=")</f>
        <v>#REF!</v>
      </c>
      <c r="CH48" t="e">
        <f>AND(Calculations!#REF!,"AAAAAG+/ZlU=")</f>
        <v>#REF!</v>
      </c>
      <c r="CI48" t="e">
        <f>AND(Calculations!#REF!,"AAAAAG+/ZlY=")</f>
        <v>#REF!</v>
      </c>
      <c r="CJ48" t="e">
        <f>IF(Calculations!#REF!,"AAAAAG+/Zlc=",0)</f>
        <v>#REF!</v>
      </c>
      <c r="CK48" t="e">
        <f>AND(Calculations!#REF!,"AAAAAG+/Zlg=")</f>
        <v>#REF!</v>
      </c>
      <c r="CL48" t="e">
        <f>AND(Calculations!#REF!,"AAAAAG+/Zlk=")</f>
        <v>#REF!</v>
      </c>
      <c r="CM48" t="e">
        <f>AND(Calculations!#REF!,"AAAAAG+/Zlo=")</f>
        <v>#REF!</v>
      </c>
      <c r="CN48" t="e">
        <f>AND(Calculations!#REF!,"AAAAAG+/Zls=")</f>
        <v>#REF!</v>
      </c>
      <c r="CO48" t="e">
        <f>AND(Calculations!#REF!,"AAAAAG+/Zlw=")</f>
        <v>#REF!</v>
      </c>
      <c r="CP48" t="e">
        <f>AND(Calculations!#REF!,"AAAAAG+/Zl0=")</f>
        <v>#REF!</v>
      </c>
      <c r="CQ48" t="e">
        <f>AND(Calculations!#REF!,"AAAAAG+/Zl4=")</f>
        <v>#REF!</v>
      </c>
      <c r="CR48" t="e">
        <f>AND(Calculations!#REF!,"AAAAAG+/Zl8=")</f>
        <v>#REF!</v>
      </c>
      <c r="CS48" t="e">
        <f>AND(Calculations!#REF!,"AAAAAG+/ZmA=")</f>
        <v>#REF!</v>
      </c>
      <c r="CT48" t="e">
        <f>AND(Calculations!#REF!,"AAAAAG+/ZmE=")</f>
        <v>#REF!</v>
      </c>
      <c r="CU48" t="e">
        <f>AND(Calculations!#REF!,"AAAAAG+/ZmI=")</f>
        <v>#REF!</v>
      </c>
      <c r="CV48" t="e">
        <f>AND(Calculations!#REF!,"AAAAAG+/ZmM=")</f>
        <v>#REF!</v>
      </c>
      <c r="CW48" t="e">
        <f>AND(Calculations!#REF!,"AAAAAG+/ZmQ=")</f>
        <v>#REF!</v>
      </c>
      <c r="CX48" t="e">
        <f>AND(Calculations!#REF!,"AAAAAG+/ZmU=")</f>
        <v>#REF!</v>
      </c>
      <c r="CY48" t="e">
        <f>AND(Calculations!#REF!,"AAAAAG+/ZmY=")</f>
        <v>#REF!</v>
      </c>
      <c r="CZ48" t="e">
        <f>AND(Calculations!#REF!,"AAAAAG+/Zmc=")</f>
        <v>#REF!</v>
      </c>
      <c r="DA48" t="e">
        <f>AND(Calculations!#REF!,"AAAAAG+/Zmg=")</f>
        <v>#REF!</v>
      </c>
      <c r="DB48" t="e">
        <f>AND(Calculations!#REF!,"AAAAAG+/Zmk=")</f>
        <v>#REF!</v>
      </c>
      <c r="DC48" t="e">
        <f>AND(Calculations!#REF!,"AAAAAG+/Zmo=")</f>
        <v>#REF!</v>
      </c>
      <c r="DD48" t="e">
        <f>AND(Calculations!#REF!,"AAAAAG+/Zms=")</f>
        <v>#REF!</v>
      </c>
      <c r="DE48" t="e">
        <f>AND(Calculations!#REF!,"AAAAAG+/Zmw=")</f>
        <v>#REF!</v>
      </c>
      <c r="DF48" t="e">
        <f>AND(Calculations!#REF!,"AAAAAG+/Zm0=")</f>
        <v>#REF!</v>
      </c>
      <c r="DG48" t="e">
        <f>AND(Calculations!#REF!,"AAAAAG+/Zm4=")</f>
        <v>#REF!</v>
      </c>
      <c r="DH48" t="e">
        <f>AND(Calculations!#REF!,"AAAAAG+/Zm8=")</f>
        <v>#REF!</v>
      </c>
      <c r="DI48" t="e">
        <f>AND(Calculations!#REF!,"AAAAAG+/ZnA=")</f>
        <v>#REF!</v>
      </c>
      <c r="DJ48" t="e">
        <f>IF(Calculations!#REF!,"AAAAAG+/ZnE=",0)</f>
        <v>#REF!</v>
      </c>
      <c r="DK48" t="e">
        <f>AND(Calculations!#REF!,"AAAAAG+/ZnI=")</f>
        <v>#REF!</v>
      </c>
      <c r="DL48" t="e">
        <f>AND(Calculations!#REF!,"AAAAAG+/ZnM=")</f>
        <v>#REF!</v>
      </c>
      <c r="DM48" t="e">
        <f>AND(Calculations!#REF!,"AAAAAG+/ZnQ=")</f>
        <v>#REF!</v>
      </c>
      <c r="DN48" t="e">
        <f>AND(Calculations!#REF!,"AAAAAG+/ZnU=")</f>
        <v>#REF!</v>
      </c>
      <c r="DO48" t="e">
        <f>AND(Calculations!#REF!,"AAAAAG+/ZnY=")</f>
        <v>#REF!</v>
      </c>
      <c r="DP48" t="e">
        <f>AND(Calculations!#REF!,"AAAAAG+/Znc=")</f>
        <v>#REF!</v>
      </c>
      <c r="DQ48" t="e">
        <f>AND(Calculations!#REF!,"AAAAAG+/Zng=")</f>
        <v>#REF!</v>
      </c>
      <c r="DR48" t="e">
        <f>AND(Calculations!#REF!,"AAAAAG+/Znk=")</f>
        <v>#REF!</v>
      </c>
      <c r="DS48" t="e">
        <f>AND(Calculations!#REF!,"AAAAAG+/Zno=")</f>
        <v>#REF!</v>
      </c>
      <c r="DT48" t="e">
        <f>AND(Calculations!#REF!,"AAAAAG+/Zns=")</f>
        <v>#REF!</v>
      </c>
      <c r="DU48" t="e">
        <f>AND(Calculations!#REF!,"AAAAAG+/Znw=")</f>
        <v>#REF!</v>
      </c>
      <c r="DV48" t="e">
        <f>AND(Calculations!#REF!,"AAAAAG+/Zn0=")</f>
        <v>#REF!</v>
      </c>
      <c r="DW48" t="e">
        <f>AND(Calculations!#REF!,"AAAAAG+/Zn4=")</f>
        <v>#REF!</v>
      </c>
      <c r="DX48" t="e">
        <f>AND(Calculations!#REF!,"AAAAAG+/Zn8=")</f>
        <v>#REF!</v>
      </c>
      <c r="DY48" t="e">
        <f>AND(Calculations!#REF!,"AAAAAG+/ZoA=")</f>
        <v>#REF!</v>
      </c>
      <c r="DZ48" t="e">
        <f>AND(Calculations!#REF!,"AAAAAG+/ZoE=")</f>
        <v>#REF!</v>
      </c>
      <c r="EA48" t="e">
        <f>AND(Calculations!#REF!,"AAAAAG+/ZoI=")</f>
        <v>#REF!</v>
      </c>
      <c r="EB48" t="e">
        <f>AND(Calculations!#REF!,"AAAAAG+/ZoM=")</f>
        <v>#REF!</v>
      </c>
      <c r="EC48" t="e">
        <f>AND(Calculations!#REF!,"AAAAAG+/ZoQ=")</f>
        <v>#REF!</v>
      </c>
      <c r="ED48" t="e">
        <f>AND(Calculations!#REF!,"AAAAAG+/ZoU=")</f>
        <v>#REF!</v>
      </c>
      <c r="EE48" t="e">
        <f>AND(Calculations!#REF!,"AAAAAG+/ZoY=")</f>
        <v>#REF!</v>
      </c>
      <c r="EF48" t="e">
        <f>AND(Calculations!#REF!,"AAAAAG+/Zoc=")</f>
        <v>#REF!</v>
      </c>
      <c r="EG48" t="e">
        <f>AND(Calculations!#REF!,"AAAAAG+/Zog=")</f>
        <v>#REF!</v>
      </c>
      <c r="EH48" t="e">
        <f>AND(Calculations!#REF!,"AAAAAG+/Zok=")</f>
        <v>#REF!</v>
      </c>
      <c r="EI48" t="e">
        <f>AND(Calculations!#REF!,"AAAAAG+/Zoo=")</f>
        <v>#REF!</v>
      </c>
      <c r="EJ48" t="e">
        <f>IF(Calculations!#REF!,"AAAAAG+/Zos=",0)</f>
        <v>#REF!</v>
      </c>
      <c r="EK48" t="e">
        <f>AND(Calculations!#REF!,"AAAAAG+/Zow=")</f>
        <v>#REF!</v>
      </c>
      <c r="EL48" t="e">
        <f>AND(Calculations!#REF!,"AAAAAG+/Zo0=")</f>
        <v>#REF!</v>
      </c>
      <c r="EM48" t="e">
        <f>AND(Calculations!#REF!,"AAAAAG+/Zo4=")</f>
        <v>#REF!</v>
      </c>
      <c r="EN48" t="e">
        <f>AND(Calculations!#REF!,"AAAAAG+/Zo8=")</f>
        <v>#REF!</v>
      </c>
      <c r="EO48" t="e">
        <f>AND(Calculations!#REF!,"AAAAAG+/ZpA=")</f>
        <v>#REF!</v>
      </c>
      <c r="EP48" t="e">
        <f>AND(Calculations!#REF!,"AAAAAG+/ZpE=")</f>
        <v>#REF!</v>
      </c>
      <c r="EQ48" t="e">
        <f>AND(Calculations!#REF!,"AAAAAG+/ZpI=")</f>
        <v>#REF!</v>
      </c>
      <c r="ER48" t="e">
        <f>AND(Calculations!#REF!,"AAAAAG+/ZpM=")</f>
        <v>#REF!</v>
      </c>
      <c r="ES48" t="e">
        <f>AND(Calculations!#REF!,"AAAAAG+/ZpQ=")</f>
        <v>#REF!</v>
      </c>
      <c r="ET48" t="e">
        <f>AND(Calculations!#REF!,"AAAAAG+/ZpU=")</f>
        <v>#REF!</v>
      </c>
      <c r="EU48" t="e">
        <f>AND(Calculations!#REF!,"AAAAAG+/ZpY=")</f>
        <v>#REF!</v>
      </c>
      <c r="EV48" t="e">
        <f>AND(Calculations!#REF!,"AAAAAG+/Zpc=")</f>
        <v>#REF!</v>
      </c>
      <c r="EW48" t="e">
        <f>AND(Calculations!#REF!,"AAAAAG+/Zpg=")</f>
        <v>#REF!</v>
      </c>
      <c r="EX48" t="e">
        <f>AND(Calculations!#REF!,"AAAAAG+/Zpk=")</f>
        <v>#REF!</v>
      </c>
      <c r="EY48" t="e">
        <f>AND(Calculations!#REF!,"AAAAAG+/Zpo=")</f>
        <v>#REF!</v>
      </c>
      <c r="EZ48" t="e">
        <f>AND(Calculations!#REF!,"AAAAAG+/Zps=")</f>
        <v>#REF!</v>
      </c>
      <c r="FA48" t="e">
        <f>AND(Calculations!#REF!,"AAAAAG+/Zpw=")</f>
        <v>#REF!</v>
      </c>
      <c r="FB48" t="e">
        <f>AND(Calculations!#REF!,"AAAAAG+/Zp0=")</f>
        <v>#REF!</v>
      </c>
      <c r="FC48" t="e">
        <f>AND(Calculations!#REF!,"AAAAAG+/Zp4=")</f>
        <v>#REF!</v>
      </c>
      <c r="FD48" t="e">
        <f>AND(Calculations!#REF!,"AAAAAG+/Zp8=")</f>
        <v>#REF!</v>
      </c>
      <c r="FE48" t="e">
        <f>AND(Calculations!#REF!,"AAAAAG+/ZqA=")</f>
        <v>#REF!</v>
      </c>
      <c r="FF48" t="e">
        <f>AND(Calculations!#REF!,"AAAAAG+/ZqE=")</f>
        <v>#REF!</v>
      </c>
      <c r="FG48" t="e">
        <f>AND(Calculations!#REF!,"AAAAAG+/ZqI=")</f>
        <v>#REF!</v>
      </c>
      <c r="FH48" t="e">
        <f>AND(Calculations!#REF!,"AAAAAG+/ZqM=")</f>
        <v>#REF!</v>
      </c>
      <c r="FI48" t="e">
        <f>AND(Calculations!#REF!,"AAAAAG+/ZqQ=")</f>
        <v>#REF!</v>
      </c>
      <c r="FJ48" t="e">
        <f>IF(Calculations!#REF!,"AAAAAG+/ZqU=",0)</f>
        <v>#REF!</v>
      </c>
      <c r="FK48" t="e">
        <f>AND(Calculations!#REF!,"AAAAAG+/ZqY=")</f>
        <v>#REF!</v>
      </c>
      <c r="FL48" t="e">
        <f>AND(Calculations!#REF!,"AAAAAG+/Zqc=")</f>
        <v>#REF!</v>
      </c>
      <c r="FM48" t="e">
        <f>AND(Calculations!#REF!,"AAAAAG+/Zqg=")</f>
        <v>#REF!</v>
      </c>
      <c r="FN48" t="e">
        <f>AND(Calculations!#REF!,"AAAAAG+/Zqk=")</f>
        <v>#REF!</v>
      </c>
      <c r="FO48" t="e">
        <f>AND(Calculations!#REF!,"AAAAAG+/Zqo=")</f>
        <v>#REF!</v>
      </c>
      <c r="FP48" t="e">
        <f>AND(Calculations!#REF!,"AAAAAG+/Zqs=")</f>
        <v>#REF!</v>
      </c>
      <c r="FQ48" t="e">
        <f>AND(Calculations!#REF!,"AAAAAG+/Zqw=")</f>
        <v>#REF!</v>
      </c>
      <c r="FR48" t="e">
        <f>AND(Calculations!#REF!,"AAAAAG+/Zq0=")</f>
        <v>#REF!</v>
      </c>
      <c r="FS48" t="e">
        <f>AND(Calculations!#REF!,"AAAAAG+/Zq4=")</f>
        <v>#REF!</v>
      </c>
      <c r="FT48" t="e">
        <f>AND(Calculations!#REF!,"AAAAAG+/Zq8=")</f>
        <v>#REF!</v>
      </c>
      <c r="FU48" t="e">
        <f>AND(Calculations!#REF!,"AAAAAG+/ZrA=")</f>
        <v>#REF!</v>
      </c>
      <c r="FV48" t="e">
        <f>AND(Calculations!#REF!,"AAAAAG+/ZrE=")</f>
        <v>#REF!</v>
      </c>
      <c r="FW48" t="e">
        <f>AND(Calculations!#REF!,"AAAAAG+/ZrI=")</f>
        <v>#REF!</v>
      </c>
      <c r="FX48" t="e">
        <f>AND(Calculations!#REF!,"AAAAAG+/ZrM=")</f>
        <v>#REF!</v>
      </c>
      <c r="FY48" t="e">
        <f>AND(Calculations!#REF!,"AAAAAG+/ZrQ=")</f>
        <v>#REF!</v>
      </c>
      <c r="FZ48" t="e">
        <f>AND(Calculations!#REF!,"AAAAAG+/ZrU=")</f>
        <v>#REF!</v>
      </c>
      <c r="GA48" t="e">
        <f>AND(Calculations!#REF!,"AAAAAG+/ZrY=")</f>
        <v>#REF!</v>
      </c>
      <c r="GB48" t="e">
        <f>AND(Calculations!#REF!,"AAAAAG+/Zrc=")</f>
        <v>#REF!</v>
      </c>
      <c r="GC48" t="e">
        <f>AND(Calculations!#REF!,"AAAAAG+/Zrg=")</f>
        <v>#REF!</v>
      </c>
      <c r="GD48" t="e">
        <f>AND(Calculations!#REF!,"AAAAAG+/Zrk=")</f>
        <v>#REF!</v>
      </c>
      <c r="GE48" t="e">
        <f>AND(Calculations!#REF!,"AAAAAG+/Zro=")</f>
        <v>#REF!</v>
      </c>
      <c r="GF48" t="e">
        <f>AND(Calculations!#REF!,"AAAAAG+/Zrs=")</f>
        <v>#REF!</v>
      </c>
      <c r="GG48" t="e">
        <f>AND(Calculations!#REF!,"AAAAAG+/Zrw=")</f>
        <v>#REF!</v>
      </c>
      <c r="GH48" t="e">
        <f>AND(Calculations!#REF!,"AAAAAG+/Zr0=")</f>
        <v>#REF!</v>
      </c>
      <c r="GI48" t="e">
        <f>AND(Calculations!#REF!,"AAAAAG+/Zr4=")</f>
        <v>#REF!</v>
      </c>
      <c r="GJ48" t="e">
        <f>IF(Calculations!#REF!,"AAAAAG+/Zr8=",0)</f>
        <v>#REF!</v>
      </c>
      <c r="GK48" t="e">
        <f>AND(Calculations!#REF!,"AAAAAG+/ZsA=")</f>
        <v>#REF!</v>
      </c>
      <c r="GL48" t="e">
        <f>AND(Calculations!#REF!,"AAAAAG+/ZsE=")</f>
        <v>#REF!</v>
      </c>
      <c r="GM48" t="e">
        <f>AND(Calculations!#REF!,"AAAAAG+/ZsI=")</f>
        <v>#REF!</v>
      </c>
      <c r="GN48" t="e">
        <f>AND(Calculations!#REF!,"AAAAAG+/ZsM=")</f>
        <v>#REF!</v>
      </c>
      <c r="GO48" t="e">
        <f>AND(Calculations!#REF!,"AAAAAG+/ZsQ=")</f>
        <v>#REF!</v>
      </c>
      <c r="GP48" t="e">
        <f>AND(Calculations!#REF!,"AAAAAG+/ZsU=")</f>
        <v>#REF!</v>
      </c>
      <c r="GQ48" t="e">
        <f>AND(Calculations!#REF!,"AAAAAG+/ZsY=")</f>
        <v>#REF!</v>
      </c>
      <c r="GR48" t="e">
        <f>AND(Calculations!#REF!,"AAAAAG+/Zsc=")</f>
        <v>#REF!</v>
      </c>
      <c r="GS48" t="e">
        <f>AND(Calculations!#REF!,"AAAAAG+/Zsg=")</f>
        <v>#REF!</v>
      </c>
      <c r="GT48" t="e">
        <f>AND(Calculations!#REF!,"AAAAAG+/Zsk=")</f>
        <v>#REF!</v>
      </c>
      <c r="GU48" t="e">
        <f>AND(Calculations!#REF!,"AAAAAG+/Zso=")</f>
        <v>#REF!</v>
      </c>
      <c r="GV48" t="e">
        <f>AND(Calculations!#REF!,"AAAAAG+/Zss=")</f>
        <v>#REF!</v>
      </c>
      <c r="GW48" t="e">
        <f>AND(Calculations!#REF!,"AAAAAG+/Zsw=")</f>
        <v>#REF!</v>
      </c>
      <c r="GX48" t="e">
        <f>AND(Calculations!#REF!,"AAAAAG+/Zs0=")</f>
        <v>#REF!</v>
      </c>
      <c r="GY48" t="e">
        <f>AND(Calculations!#REF!,"AAAAAG+/Zs4=")</f>
        <v>#REF!</v>
      </c>
      <c r="GZ48" t="e">
        <f>AND(Calculations!#REF!,"AAAAAG+/Zs8=")</f>
        <v>#REF!</v>
      </c>
      <c r="HA48" t="e">
        <f>AND(Calculations!#REF!,"AAAAAG+/ZtA=")</f>
        <v>#REF!</v>
      </c>
      <c r="HB48" t="e">
        <f>AND(Calculations!#REF!,"AAAAAG+/ZtE=")</f>
        <v>#REF!</v>
      </c>
      <c r="HC48" t="e">
        <f>AND(Calculations!#REF!,"AAAAAG+/ZtI=")</f>
        <v>#REF!</v>
      </c>
      <c r="HD48" t="e">
        <f>AND(Calculations!#REF!,"AAAAAG+/ZtM=")</f>
        <v>#REF!</v>
      </c>
      <c r="HE48" t="e">
        <f>AND(Calculations!#REF!,"AAAAAG+/ZtQ=")</f>
        <v>#REF!</v>
      </c>
      <c r="HF48" t="e">
        <f>AND(Calculations!#REF!,"AAAAAG+/ZtU=")</f>
        <v>#REF!</v>
      </c>
      <c r="HG48" t="e">
        <f>AND(Calculations!#REF!,"AAAAAG+/ZtY=")</f>
        <v>#REF!</v>
      </c>
      <c r="HH48" t="e">
        <f>AND(Calculations!#REF!,"AAAAAG+/Ztc=")</f>
        <v>#REF!</v>
      </c>
      <c r="HI48" t="e">
        <f>AND(Calculations!#REF!,"AAAAAG+/Ztg=")</f>
        <v>#REF!</v>
      </c>
      <c r="HJ48" t="e">
        <f>IF(Calculations!#REF!,"AAAAAG+/Ztk=",0)</f>
        <v>#REF!</v>
      </c>
      <c r="HK48" t="e">
        <f>AND(Calculations!#REF!,"AAAAAG+/Zto=")</f>
        <v>#REF!</v>
      </c>
      <c r="HL48" t="e">
        <f>AND(Calculations!#REF!,"AAAAAG+/Zts=")</f>
        <v>#REF!</v>
      </c>
      <c r="HM48" t="e">
        <f>AND(Calculations!#REF!,"AAAAAG+/Ztw=")</f>
        <v>#REF!</v>
      </c>
      <c r="HN48" t="e">
        <f>AND(Calculations!#REF!,"AAAAAG+/Zt0=")</f>
        <v>#REF!</v>
      </c>
      <c r="HO48" t="e">
        <f>AND(Calculations!#REF!,"AAAAAG+/Zt4=")</f>
        <v>#REF!</v>
      </c>
      <c r="HP48" t="e">
        <f>AND(Calculations!#REF!,"AAAAAG+/Zt8=")</f>
        <v>#REF!</v>
      </c>
      <c r="HQ48" t="e">
        <f>AND(Calculations!#REF!,"AAAAAG+/ZuA=")</f>
        <v>#REF!</v>
      </c>
      <c r="HR48" t="e">
        <f>AND(Calculations!#REF!,"AAAAAG+/ZuE=")</f>
        <v>#REF!</v>
      </c>
      <c r="HS48" t="e">
        <f>AND(Calculations!#REF!,"AAAAAG+/ZuI=")</f>
        <v>#REF!</v>
      </c>
      <c r="HT48" t="e">
        <f>AND(Calculations!#REF!,"AAAAAG+/ZuM=")</f>
        <v>#REF!</v>
      </c>
      <c r="HU48" t="e">
        <f>AND(Calculations!#REF!,"AAAAAG+/ZuQ=")</f>
        <v>#REF!</v>
      </c>
      <c r="HV48" t="e">
        <f>AND(Calculations!#REF!,"AAAAAG+/ZuU=")</f>
        <v>#REF!</v>
      </c>
      <c r="HW48" t="e">
        <f>AND(Calculations!#REF!,"AAAAAG+/ZuY=")</f>
        <v>#REF!</v>
      </c>
      <c r="HX48" t="e">
        <f>AND(Calculations!#REF!,"AAAAAG+/Zuc=")</f>
        <v>#REF!</v>
      </c>
      <c r="HY48" t="e">
        <f>AND(Calculations!#REF!,"AAAAAG+/Zug=")</f>
        <v>#REF!</v>
      </c>
      <c r="HZ48" t="e">
        <f>AND(Calculations!#REF!,"AAAAAG+/Zuk=")</f>
        <v>#REF!</v>
      </c>
      <c r="IA48" t="e">
        <f>AND(Calculations!#REF!,"AAAAAG+/Zuo=")</f>
        <v>#REF!</v>
      </c>
      <c r="IB48" t="e">
        <f>AND(Calculations!#REF!,"AAAAAG+/Zus=")</f>
        <v>#REF!</v>
      </c>
      <c r="IC48" t="e">
        <f>AND(Calculations!#REF!,"AAAAAG+/Zuw=")</f>
        <v>#REF!</v>
      </c>
      <c r="ID48" t="e">
        <f>AND(Calculations!#REF!,"AAAAAG+/Zu0=")</f>
        <v>#REF!</v>
      </c>
      <c r="IE48" t="e">
        <f>AND(Calculations!#REF!,"AAAAAG+/Zu4=")</f>
        <v>#REF!</v>
      </c>
      <c r="IF48" t="e">
        <f>AND(Calculations!#REF!,"AAAAAG+/Zu8=")</f>
        <v>#REF!</v>
      </c>
      <c r="IG48" t="e">
        <f>AND(Calculations!#REF!,"AAAAAG+/ZvA=")</f>
        <v>#REF!</v>
      </c>
      <c r="IH48" t="e">
        <f>AND(Calculations!#REF!,"AAAAAG+/ZvE=")</f>
        <v>#REF!</v>
      </c>
      <c r="II48" t="e">
        <f>AND(Calculations!#REF!,"AAAAAG+/ZvI=")</f>
        <v>#REF!</v>
      </c>
      <c r="IJ48" t="e">
        <f>IF(Calculations!#REF!,"AAAAAG+/ZvM=",0)</f>
        <v>#REF!</v>
      </c>
      <c r="IK48" t="e">
        <f>AND(Calculations!#REF!,"AAAAAG+/ZvQ=")</f>
        <v>#REF!</v>
      </c>
      <c r="IL48" t="e">
        <f>AND(Calculations!#REF!,"AAAAAG+/ZvU=")</f>
        <v>#REF!</v>
      </c>
      <c r="IM48" t="e">
        <f>AND(Calculations!#REF!,"AAAAAG+/ZvY=")</f>
        <v>#REF!</v>
      </c>
      <c r="IN48" t="e">
        <f>AND(Calculations!#REF!,"AAAAAG+/Zvc=")</f>
        <v>#REF!</v>
      </c>
      <c r="IO48" t="e">
        <f>AND(Calculations!#REF!,"AAAAAG+/Zvg=")</f>
        <v>#REF!</v>
      </c>
      <c r="IP48" t="e">
        <f>AND(Calculations!#REF!,"AAAAAG+/Zvk=")</f>
        <v>#REF!</v>
      </c>
      <c r="IQ48" t="e">
        <f>AND(Calculations!#REF!,"AAAAAG+/Zvo=")</f>
        <v>#REF!</v>
      </c>
      <c r="IR48" t="e">
        <f>AND(Calculations!#REF!,"AAAAAG+/Zvs=")</f>
        <v>#REF!</v>
      </c>
      <c r="IS48" t="e">
        <f>AND(Calculations!#REF!,"AAAAAG+/Zvw=")</f>
        <v>#REF!</v>
      </c>
      <c r="IT48" t="e">
        <f>AND(Calculations!#REF!,"AAAAAG+/Zv0=")</f>
        <v>#REF!</v>
      </c>
      <c r="IU48" t="e">
        <f>AND(Calculations!#REF!,"AAAAAG+/Zv4=")</f>
        <v>#REF!</v>
      </c>
      <c r="IV48" t="e">
        <f>AND(Calculations!#REF!,"AAAAAG+/Zv8=")</f>
        <v>#REF!</v>
      </c>
    </row>
    <row r="49" spans="1:256">
      <c r="A49" t="e">
        <f>AND(Calculations!#REF!,"AAAAAGX/fgA=")</f>
        <v>#REF!</v>
      </c>
      <c r="B49" t="e">
        <f>AND(Calculations!#REF!,"AAAAAGX/fgE=")</f>
        <v>#REF!</v>
      </c>
      <c r="C49" t="e">
        <f>AND(Calculations!#REF!,"AAAAAGX/fgI=")</f>
        <v>#REF!</v>
      </c>
      <c r="D49" t="e">
        <f>AND(Calculations!#REF!,"AAAAAGX/fgM=")</f>
        <v>#REF!</v>
      </c>
      <c r="E49" t="e">
        <f>AND(Calculations!#REF!,"AAAAAGX/fgQ=")</f>
        <v>#REF!</v>
      </c>
      <c r="F49" t="e">
        <f>AND(Calculations!#REF!,"AAAAAGX/fgU=")</f>
        <v>#REF!</v>
      </c>
      <c r="G49" t="e">
        <f>AND(Calculations!#REF!,"AAAAAGX/fgY=")</f>
        <v>#REF!</v>
      </c>
      <c r="H49" t="e">
        <f>AND(Calculations!#REF!,"AAAAAGX/fgc=")</f>
        <v>#REF!</v>
      </c>
      <c r="I49" t="e">
        <f>AND(Calculations!#REF!,"AAAAAGX/fgg=")</f>
        <v>#REF!</v>
      </c>
      <c r="J49" t="e">
        <f>AND(Calculations!#REF!,"AAAAAGX/fgk=")</f>
        <v>#REF!</v>
      </c>
      <c r="K49" t="e">
        <f>AND(Calculations!#REF!,"AAAAAGX/fgo=")</f>
        <v>#REF!</v>
      </c>
      <c r="L49" t="e">
        <f>AND(Calculations!#REF!,"AAAAAGX/fgs=")</f>
        <v>#REF!</v>
      </c>
      <c r="M49" t="e">
        <f>AND(Calculations!#REF!,"AAAAAGX/fgw=")</f>
        <v>#REF!</v>
      </c>
      <c r="N49" t="e">
        <f>IF(Calculations!#REF!,"AAAAAGX/fg0=",0)</f>
        <v>#REF!</v>
      </c>
      <c r="O49" t="e">
        <f>AND(Calculations!#REF!,"AAAAAGX/fg4=")</f>
        <v>#REF!</v>
      </c>
      <c r="P49" t="e">
        <f>AND(Calculations!#REF!,"AAAAAGX/fg8=")</f>
        <v>#REF!</v>
      </c>
      <c r="Q49" t="e">
        <f>AND(Calculations!#REF!,"AAAAAGX/fhA=")</f>
        <v>#REF!</v>
      </c>
      <c r="R49" t="e">
        <f>AND(Calculations!#REF!,"AAAAAGX/fhE=")</f>
        <v>#REF!</v>
      </c>
      <c r="S49" t="e">
        <f>AND(Calculations!#REF!,"AAAAAGX/fhI=")</f>
        <v>#REF!</v>
      </c>
      <c r="T49" t="e">
        <f>AND(Calculations!#REF!,"AAAAAGX/fhM=")</f>
        <v>#REF!</v>
      </c>
      <c r="U49" t="e">
        <f>AND(Calculations!#REF!,"AAAAAGX/fhQ=")</f>
        <v>#REF!</v>
      </c>
      <c r="V49" t="e">
        <f>AND(Calculations!#REF!,"AAAAAGX/fhU=")</f>
        <v>#REF!</v>
      </c>
      <c r="W49" t="e">
        <f>AND(Calculations!#REF!,"AAAAAGX/fhY=")</f>
        <v>#REF!</v>
      </c>
      <c r="X49" t="e">
        <f>AND(Calculations!#REF!,"AAAAAGX/fhc=")</f>
        <v>#REF!</v>
      </c>
      <c r="Y49" t="e">
        <f>AND(Calculations!#REF!,"AAAAAGX/fhg=")</f>
        <v>#REF!</v>
      </c>
      <c r="Z49" t="e">
        <f>AND(Calculations!#REF!,"AAAAAGX/fhk=")</f>
        <v>#REF!</v>
      </c>
      <c r="AA49" t="e">
        <f>AND(Calculations!#REF!,"AAAAAGX/fho=")</f>
        <v>#REF!</v>
      </c>
      <c r="AB49" t="e">
        <f>AND(Calculations!#REF!,"AAAAAGX/fhs=")</f>
        <v>#REF!</v>
      </c>
      <c r="AC49" t="e">
        <f>AND(Calculations!#REF!,"AAAAAGX/fhw=")</f>
        <v>#REF!</v>
      </c>
      <c r="AD49" t="e">
        <f>AND(Calculations!#REF!,"AAAAAGX/fh0=")</f>
        <v>#REF!</v>
      </c>
      <c r="AE49" t="e">
        <f>AND(Calculations!#REF!,"AAAAAGX/fh4=")</f>
        <v>#REF!</v>
      </c>
      <c r="AF49" t="e">
        <f>AND(Calculations!#REF!,"AAAAAGX/fh8=")</f>
        <v>#REF!</v>
      </c>
      <c r="AG49" t="e">
        <f>AND(Calculations!#REF!,"AAAAAGX/fiA=")</f>
        <v>#REF!</v>
      </c>
      <c r="AH49" t="e">
        <f>AND(Calculations!#REF!,"AAAAAGX/fiE=")</f>
        <v>#REF!</v>
      </c>
      <c r="AI49" t="e">
        <f>AND(Calculations!#REF!,"AAAAAGX/fiI=")</f>
        <v>#REF!</v>
      </c>
      <c r="AJ49" t="e">
        <f>AND(Calculations!#REF!,"AAAAAGX/fiM=")</f>
        <v>#REF!</v>
      </c>
      <c r="AK49" t="e">
        <f>AND(Calculations!#REF!,"AAAAAGX/fiQ=")</f>
        <v>#REF!</v>
      </c>
      <c r="AL49" t="e">
        <f>AND(Calculations!#REF!,"AAAAAGX/fiU=")</f>
        <v>#REF!</v>
      </c>
      <c r="AM49" t="e">
        <f>AND(Calculations!#REF!,"AAAAAGX/fiY=")</f>
        <v>#REF!</v>
      </c>
      <c r="AN49" t="e">
        <f>IF(Calculations!#REF!,"AAAAAGX/fic=",0)</f>
        <v>#REF!</v>
      </c>
      <c r="AO49" t="e">
        <f>AND(Calculations!#REF!,"AAAAAGX/fig=")</f>
        <v>#REF!</v>
      </c>
      <c r="AP49" t="e">
        <f>AND(Calculations!#REF!,"AAAAAGX/fik=")</f>
        <v>#REF!</v>
      </c>
      <c r="AQ49" t="e">
        <f>AND(Calculations!#REF!,"AAAAAGX/fio=")</f>
        <v>#REF!</v>
      </c>
      <c r="AR49" t="e">
        <f>AND(Calculations!#REF!,"AAAAAGX/fis=")</f>
        <v>#REF!</v>
      </c>
      <c r="AS49" t="e">
        <f>AND(Calculations!#REF!,"AAAAAGX/fiw=")</f>
        <v>#REF!</v>
      </c>
      <c r="AT49" t="e">
        <f>AND(Calculations!#REF!,"AAAAAGX/fi0=")</f>
        <v>#REF!</v>
      </c>
      <c r="AU49" t="e">
        <f>AND(Calculations!#REF!,"AAAAAGX/fi4=")</f>
        <v>#REF!</v>
      </c>
      <c r="AV49" t="e">
        <f>AND(Calculations!#REF!,"AAAAAGX/fi8=")</f>
        <v>#REF!</v>
      </c>
      <c r="AW49" t="e">
        <f>AND(Calculations!#REF!,"AAAAAGX/fjA=")</f>
        <v>#REF!</v>
      </c>
      <c r="AX49" t="e">
        <f>AND(Calculations!#REF!,"AAAAAGX/fjE=")</f>
        <v>#REF!</v>
      </c>
      <c r="AY49" t="e">
        <f>AND(Calculations!#REF!,"AAAAAGX/fjI=")</f>
        <v>#REF!</v>
      </c>
      <c r="AZ49" t="e">
        <f>AND(Calculations!#REF!,"AAAAAGX/fjM=")</f>
        <v>#REF!</v>
      </c>
      <c r="BA49" t="e">
        <f>AND(Calculations!#REF!,"AAAAAGX/fjQ=")</f>
        <v>#REF!</v>
      </c>
      <c r="BB49" t="e">
        <f>AND(Calculations!#REF!,"AAAAAGX/fjU=")</f>
        <v>#REF!</v>
      </c>
      <c r="BC49" t="e">
        <f>AND(Calculations!#REF!,"AAAAAGX/fjY=")</f>
        <v>#REF!</v>
      </c>
      <c r="BD49" t="e">
        <f>AND(Calculations!#REF!,"AAAAAGX/fjc=")</f>
        <v>#REF!</v>
      </c>
      <c r="BE49" t="e">
        <f>AND(Calculations!#REF!,"AAAAAGX/fjg=")</f>
        <v>#REF!</v>
      </c>
      <c r="BF49" t="e">
        <f>AND(Calculations!#REF!,"AAAAAGX/fjk=")</f>
        <v>#REF!</v>
      </c>
      <c r="BG49" t="e">
        <f>AND(Calculations!#REF!,"AAAAAGX/fjo=")</f>
        <v>#REF!</v>
      </c>
      <c r="BH49" t="e">
        <f>AND(Calculations!#REF!,"AAAAAGX/fjs=")</f>
        <v>#REF!</v>
      </c>
      <c r="BI49" t="e">
        <f>AND(Calculations!#REF!,"AAAAAGX/fjw=")</f>
        <v>#REF!</v>
      </c>
      <c r="BJ49" t="e">
        <f>AND(Calculations!#REF!,"AAAAAGX/fj0=")</f>
        <v>#REF!</v>
      </c>
      <c r="BK49" t="e">
        <f>AND(Calculations!#REF!,"AAAAAGX/fj4=")</f>
        <v>#REF!</v>
      </c>
      <c r="BL49" t="e">
        <f>AND(Calculations!#REF!,"AAAAAGX/fj8=")</f>
        <v>#REF!</v>
      </c>
      <c r="BM49" t="e">
        <f>AND(Calculations!#REF!,"AAAAAGX/fkA=")</f>
        <v>#REF!</v>
      </c>
      <c r="BN49" t="e">
        <f>IF(Calculations!#REF!,"AAAAAGX/fkE=",0)</f>
        <v>#REF!</v>
      </c>
      <c r="BO49" t="e">
        <f>AND(Calculations!#REF!,"AAAAAGX/fkI=")</f>
        <v>#REF!</v>
      </c>
      <c r="BP49" t="e">
        <f>AND(Calculations!#REF!,"AAAAAGX/fkM=")</f>
        <v>#REF!</v>
      </c>
      <c r="BQ49" t="e">
        <f>AND(Calculations!#REF!,"AAAAAGX/fkQ=")</f>
        <v>#REF!</v>
      </c>
      <c r="BR49" t="e">
        <f>AND(Calculations!#REF!,"AAAAAGX/fkU=")</f>
        <v>#REF!</v>
      </c>
      <c r="BS49" t="e">
        <f>AND(Calculations!#REF!,"AAAAAGX/fkY=")</f>
        <v>#REF!</v>
      </c>
      <c r="BT49" t="e">
        <f>AND(Calculations!#REF!,"AAAAAGX/fkc=")</f>
        <v>#REF!</v>
      </c>
      <c r="BU49" t="e">
        <f>AND(Calculations!#REF!,"AAAAAGX/fkg=")</f>
        <v>#REF!</v>
      </c>
      <c r="BV49" t="e">
        <f>AND(Calculations!#REF!,"AAAAAGX/fkk=")</f>
        <v>#REF!</v>
      </c>
      <c r="BW49" t="e">
        <f>AND(Calculations!#REF!,"AAAAAGX/fko=")</f>
        <v>#REF!</v>
      </c>
      <c r="BX49" t="e">
        <f>AND(Calculations!#REF!,"AAAAAGX/fks=")</f>
        <v>#REF!</v>
      </c>
      <c r="BY49" t="e">
        <f>AND(Calculations!#REF!,"AAAAAGX/fkw=")</f>
        <v>#REF!</v>
      </c>
      <c r="BZ49" t="e">
        <f>AND(Calculations!#REF!,"AAAAAGX/fk0=")</f>
        <v>#REF!</v>
      </c>
      <c r="CA49" t="e">
        <f>AND(Calculations!#REF!,"AAAAAGX/fk4=")</f>
        <v>#REF!</v>
      </c>
      <c r="CB49" t="e">
        <f>AND(Calculations!#REF!,"AAAAAGX/fk8=")</f>
        <v>#REF!</v>
      </c>
      <c r="CC49" t="e">
        <f>AND(Calculations!#REF!,"AAAAAGX/flA=")</f>
        <v>#REF!</v>
      </c>
      <c r="CD49" t="e">
        <f>AND(Calculations!#REF!,"AAAAAGX/flE=")</f>
        <v>#REF!</v>
      </c>
      <c r="CE49" t="e">
        <f>AND(Calculations!#REF!,"AAAAAGX/flI=")</f>
        <v>#REF!</v>
      </c>
      <c r="CF49" t="e">
        <f>AND(Calculations!#REF!,"AAAAAGX/flM=")</f>
        <v>#REF!</v>
      </c>
      <c r="CG49" t="e">
        <f>AND(Calculations!#REF!,"AAAAAGX/flQ=")</f>
        <v>#REF!</v>
      </c>
      <c r="CH49" t="e">
        <f>AND(Calculations!#REF!,"AAAAAGX/flU=")</f>
        <v>#REF!</v>
      </c>
      <c r="CI49" t="e">
        <f>AND(Calculations!#REF!,"AAAAAGX/flY=")</f>
        <v>#REF!</v>
      </c>
      <c r="CJ49" t="e">
        <f>AND(Calculations!#REF!,"AAAAAGX/flc=")</f>
        <v>#REF!</v>
      </c>
      <c r="CK49" t="e">
        <f>AND(Calculations!#REF!,"AAAAAGX/flg=")</f>
        <v>#REF!</v>
      </c>
      <c r="CL49" t="e">
        <f>AND(Calculations!#REF!,"AAAAAGX/flk=")</f>
        <v>#REF!</v>
      </c>
      <c r="CM49" t="e">
        <f>AND(Calculations!#REF!,"AAAAAGX/flo=")</f>
        <v>#REF!</v>
      </c>
      <c r="CN49" t="e">
        <f>IF(Calculations!#REF!,"AAAAAGX/fls=",0)</f>
        <v>#REF!</v>
      </c>
      <c r="CO49" t="e">
        <f>AND(Calculations!#REF!,"AAAAAGX/flw=")</f>
        <v>#REF!</v>
      </c>
      <c r="CP49" t="e">
        <f>AND(Calculations!#REF!,"AAAAAGX/fl0=")</f>
        <v>#REF!</v>
      </c>
      <c r="CQ49" t="e">
        <f>AND(Calculations!#REF!,"AAAAAGX/fl4=")</f>
        <v>#REF!</v>
      </c>
      <c r="CR49" t="e">
        <f>AND(Calculations!#REF!,"AAAAAGX/fl8=")</f>
        <v>#REF!</v>
      </c>
      <c r="CS49" t="e">
        <f>AND(Calculations!#REF!,"AAAAAGX/fmA=")</f>
        <v>#REF!</v>
      </c>
      <c r="CT49" t="e">
        <f>AND(Calculations!#REF!,"AAAAAGX/fmE=")</f>
        <v>#REF!</v>
      </c>
      <c r="CU49" t="e">
        <f>AND(Calculations!#REF!,"AAAAAGX/fmI=")</f>
        <v>#REF!</v>
      </c>
      <c r="CV49" t="e">
        <f>AND(Calculations!#REF!,"AAAAAGX/fmM=")</f>
        <v>#REF!</v>
      </c>
      <c r="CW49" t="e">
        <f>AND(Calculations!#REF!,"AAAAAGX/fmQ=")</f>
        <v>#REF!</v>
      </c>
      <c r="CX49" t="e">
        <f>AND(Calculations!#REF!,"AAAAAGX/fmU=")</f>
        <v>#REF!</v>
      </c>
      <c r="CY49" t="e">
        <f>AND(Calculations!#REF!,"AAAAAGX/fmY=")</f>
        <v>#REF!</v>
      </c>
      <c r="CZ49" t="e">
        <f>AND(Calculations!#REF!,"AAAAAGX/fmc=")</f>
        <v>#REF!</v>
      </c>
      <c r="DA49" t="e">
        <f>AND(Calculations!#REF!,"AAAAAGX/fmg=")</f>
        <v>#REF!</v>
      </c>
      <c r="DB49" t="e">
        <f>AND(Calculations!#REF!,"AAAAAGX/fmk=")</f>
        <v>#REF!</v>
      </c>
      <c r="DC49" t="e">
        <f>AND(Calculations!#REF!,"AAAAAGX/fmo=")</f>
        <v>#REF!</v>
      </c>
      <c r="DD49" t="e">
        <f>AND(Calculations!#REF!,"AAAAAGX/fms=")</f>
        <v>#REF!</v>
      </c>
      <c r="DE49" t="e">
        <f>AND(Calculations!#REF!,"AAAAAGX/fmw=")</f>
        <v>#REF!</v>
      </c>
      <c r="DF49" t="e">
        <f>AND(Calculations!#REF!,"AAAAAGX/fm0=")</f>
        <v>#REF!</v>
      </c>
      <c r="DG49" t="e">
        <f>AND(Calculations!#REF!,"AAAAAGX/fm4=")</f>
        <v>#REF!</v>
      </c>
      <c r="DH49" t="e">
        <f>AND(Calculations!#REF!,"AAAAAGX/fm8=")</f>
        <v>#REF!</v>
      </c>
      <c r="DI49" t="e">
        <f>AND(Calculations!#REF!,"AAAAAGX/fnA=")</f>
        <v>#REF!</v>
      </c>
      <c r="DJ49" t="e">
        <f>AND(Calculations!#REF!,"AAAAAGX/fnE=")</f>
        <v>#REF!</v>
      </c>
      <c r="DK49" t="e">
        <f>AND(Calculations!#REF!,"AAAAAGX/fnI=")</f>
        <v>#REF!</v>
      </c>
      <c r="DL49" t="e">
        <f>AND(Calculations!#REF!,"AAAAAGX/fnM=")</f>
        <v>#REF!</v>
      </c>
      <c r="DM49" t="e">
        <f>AND(Calculations!#REF!,"AAAAAGX/fnQ=")</f>
        <v>#REF!</v>
      </c>
      <c r="DN49" t="e">
        <f>IF(Calculations!#REF!,"AAAAAGX/fnU=",0)</f>
        <v>#REF!</v>
      </c>
      <c r="DO49" t="e">
        <f>AND(Calculations!#REF!,"AAAAAGX/fnY=")</f>
        <v>#REF!</v>
      </c>
      <c r="DP49" t="e">
        <f>AND(Calculations!#REF!,"AAAAAGX/fnc=")</f>
        <v>#REF!</v>
      </c>
      <c r="DQ49" t="e">
        <f>AND(Calculations!#REF!,"AAAAAGX/fng=")</f>
        <v>#REF!</v>
      </c>
      <c r="DR49" t="e">
        <f>AND(Calculations!#REF!,"AAAAAGX/fnk=")</f>
        <v>#REF!</v>
      </c>
      <c r="DS49" t="e">
        <f>AND(Calculations!#REF!,"AAAAAGX/fno=")</f>
        <v>#REF!</v>
      </c>
      <c r="DT49" t="e">
        <f>AND(Calculations!#REF!,"AAAAAGX/fns=")</f>
        <v>#REF!</v>
      </c>
      <c r="DU49" t="e">
        <f>AND(Calculations!#REF!,"AAAAAGX/fnw=")</f>
        <v>#REF!</v>
      </c>
      <c r="DV49" t="e">
        <f>AND(Calculations!#REF!,"AAAAAGX/fn0=")</f>
        <v>#REF!</v>
      </c>
      <c r="DW49" t="e">
        <f>AND(Calculations!#REF!,"AAAAAGX/fn4=")</f>
        <v>#REF!</v>
      </c>
      <c r="DX49" t="e">
        <f>AND(Calculations!#REF!,"AAAAAGX/fn8=")</f>
        <v>#REF!</v>
      </c>
      <c r="DY49" t="e">
        <f>AND(Calculations!#REF!,"AAAAAGX/foA=")</f>
        <v>#REF!</v>
      </c>
      <c r="DZ49" t="e">
        <f>AND(Calculations!#REF!,"AAAAAGX/foE=")</f>
        <v>#REF!</v>
      </c>
      <c r="EA49" t="e">
        <f>AND(Calculations!#REF!,"AAAAAGX/foI=")</f>
        <v>#REF!</v>
      </c>
      <c r="EB49" t="e">
        <f>AND(Calculations!#REF!,"AAAAAGX/foM=")</f>
        <v>#REF!</v>
      </c>
      <c r="EC49" t="e">
        <f>AND(Calculations!#REF!,"AAAAAGX/foQ=")</f>
        <v>#REF!</v>
      </c>
      <c r="ED49" t="e">
        <f>AND(Calculations!#REF!,"AAAAAGX/foU=")</f>
        <v>#REF!</v>
      </c>
      <c r="EE49" t="e">
        <f>AND(Calculations!#REF!,"AAAAAGX/foY=")</f>
        <v>#REF!</v>
      </c>
      <c r="EF49" t="e">
        <f>AND(Calculations!#REF!,"AAAAAGX/foc=")</f>
        <v>#REF!</v>
      </c>
      <c r="EG49" t="e">
        <f>AND(Calculations!#REF!,"AAAAAGX/fog=")</f>
        <v>#REF!</v>
      </c>
      <c r="EH49" t="e">
        <f>AND(Calculations!#REF!,"AAAAAGX/fok=")</f>
        <v>#REF!</v>
      </c>
      <c r="EI49" t="e">
        <f>AND(Calculations!#REF!,"AAAAAGX/foo=")</f>
        <v>#REF!</v>
      </c>
      <c r="EJ49" t="e">
        <f>AND(Calculations!#REF!,"AAAAAGX/fos=")</f>
        <v>#REF!</v>
      </c>
      <c r="EK49" t="e">
        <f>AND(Calculations!#REF!,"AAAAAGX/fow=")</f>
        <v>#REF!</v>
      </c>
      <c r="EL49" t="e">
        <f>AND(Calculations!#REF!,"AAAAAGX/fo0=")</f>
        <v>#REF!</v>
      </c>
      <c r="EM49" t="e">
        <f>AND(Calculations!#REF!,"AAAAAGX/fo4=")</f>
        <v>#REF!</v>
      </c>
      <c r="EN49" t="e">
        <f>IF(Calculations!#REF!,"AAAAAGX/fo8=",0)</f>
        <v>#REF!</v>
      </c>
      <c r="EO49" t="e">
        <f>AND(Calculations!#REF!,"AAAAAGX/fpA=")</f>
        <v>#REF!</v>
      </c>
      <c r="EP49" t="e">
        <f>AND(Calculations!#REF!,"AAAAAGX/fpE=")</f>
        <v>#REF!</v>
      </c>
      <c r="EQ49" t="e">
        <f>AND(Calculations!#REF!,"AAAAAGX/fpI=")</f>
        <v>#REF!</v>
      </c>
      <c r="ER49" t="e">
        <f>AND(Calculations!#REF!,"AAAAAGX/fpM=")</f>
        <v>#REF!</v>
      </c>
      <c r="ES49" t="e">
        <f>AND(Calculations!#REF!,"AAAAAGX/fpQ=")</f>
        <v>#REF!</v>
      </c>
      <c r="ET49" t="e">
        <f>AND(Calculations!#REF!,"AAAAAGX/fpU=")</f>
        <v>#REF!</v>
      </c>
      <c r="EU49" t="e">
        <f>AND(Calculations!#REF!,"AAAAAGX/fpY=")</f>
        <v>#REF!</v>
      </c>
      <c r="EV49" t="e">
        <f>AND(Calculations!#REF!,"AAAAAGX/fpc=")</f>
        <v>#REF!</v>
      </c>
      <c r="EW49" t="e">
        <f>AND(Calculations!#REF!,"AAAAAGX/fpg=")</f>
        <v>#REF!</v>
      </c>
      <c r="EX49" t="e">
        <f>AND(Calculations!#REF!,"AAAAAGX/fpk=")</f>
        <v>#REF!</v>
      </c>
      <c r="EY49" t="e">
        <f>AND(Calculations!#REF!,"AAAAAGX/fpo=")</f>
        <v>#REF!</v>
      </c>
      <c r="EZ49" t="e">
        <f>AND(Calculations!#REF!,"AAAAAGX/fps=")</f>
        <v>#REF!</v>
      </c>
      <c r="FA49" t="e">
        <f>AND(Calculations!#REF!,"AAAAAGX/fpw=")</f>
        <v>#REF!</v>
      </c>
      <c r="FB49" t="e">
        <f>AND(Calculations!#REF!,"AAAAAGX/fp0=")</f>
        <v>#REF!</v>
      </c>
      <c r="FC49" t="e">
        <f>AND(Calculations!#REF!,"AAAAAGX/fp4=")</f>
        <v>#REF!</v>
      </c>
      <c r="FD49" t="e">
        <f>AND(Calculations!#REF!,"AAAAAGX/fp8=")</f>
        <v>#REF!</v>
      </c>
      <c r="FE49" t="e">
        <f>AND(Calculations!#REF!,"AAAAAGX/fqA=")</f>
        <v>#REF!</v>
      </c>
      <c r="FF49" t="e">
        <f>AND(Calculations!#REF!,"AAAAAGX/fqE=")</f>
        <v>#REF!</v>
      </c>
      <c r="FG49" t="e">
        <f>AND(Calculations!#REF!,"AAAAAGX/fqI=")</f>
        <v>#REF!</v>
      </c>
      <c r="FH49" t="e">
        <f>AND(Calculations!#REF!,"AAAAAGX/fqM=")</f>
        <v>#REF!</v>
      </c>
      <c r="FI49" t="e">
        <f>AND(Calculations!#REF!,"AAAAAGX/fqQ=")</f>
        <v>#REF!</v>
      </c>
      <c r="FJ49" t="e">
        <f>AND(Calculations!#REF!,"AAAAAGX/fqU=")</f>
        <v>#REF!</v>
      </c>
      <c r="FK49" t="e">
        <f>AND(Calculations!#REF!,"AAAAAGX/fqY=")</f>
        <v>#REF!</v>
      </c>
      <c r="FL49" t="e">
        <f>AND(Calculations!#REF!,"AAAAAGX/fqc=")</f>
        <v>#REF!</v>
      </c>
      <c r="FM49" t="e">
        <f>AND(Calculations!#REF!,"AAAAAGX/fqg=")</f>
        <v>#REF!</v>
      </c>
      <c r="FN49" t="e">
        <f>IF(Calculations!#REF!,"AAAAAGX/fqk=",0)</f>
        <v>#REF!</v>
      </c>
      <c r="FO49" t="e">
        <f>AND(Calculations!#REF!,"AAAAAGX/fqo=")</f>
        <v>#REF!</v>
      </c>
      <c r="FP49" t="e">
        <f>AND(Calculations!#REF!,"AAAAAGX/fqs=")</f>
        <v>#REF!</v>
      </c>
      <c r="FQ49" t="e">
        <f>AND(Calculations!#REF!,"AAAAAGX/fqw=")</f>
        <v>#REF!</v>
      </c>
      <c r="FR49" t="e">
        <f>AND(Calculations!#REF!,"AAAAAGX/fq0=")</f>
        <v>#REF!</v>
      </c>
      <c r="FS49" t="e">
        <f>AND(Calculations!#REF!,"AAAAAGX/fq4=")</f>
        <v>#REF!</v>
      </c>
      <c r="FT49" t="e">
        <f>AND(Calculations!#REF!,"AAAAAGX/fq8=")</f>
        <v>#REF!</v>
      </c>
      <c r="FU49" t="e">
        <f>AND(Calculations!#REF!,"AAAAAGX/frA=")</f>
        <v>#REF!</v>
      </c>
      <c r="FV49" t="e">
        <f>AND(Calculations!#REF!,"AAAAAGX/frE=")</f>
        <v>#REF!</v>
      </c>
      <c r="FW49" t="e">
        <f>AND(Calculations!#REF!,"AAAAAGX/frI=")</f>
        <v>#REF!</v>
      </c>
      <c r="FX49" t="e">
        <f>AND(Calculations!#REF!,"AAAAAGX/frM=")</f>
        <v>#REF!</v>
      </c>
      <c r="FY49" t="e">
        <f>AND(Calculations!#REF!,"AAAAAGX/frQ=")</f>
        <v>#REF!</v>
      </c>
      <c r="FZ49" t="e">
        <f>AND(Calculations!#REF!,"AAAAAGX/frU=")</f>
        <v>#REF!</v>
      </c>
      <c r="GA49" t="e">
        <f>AND(Calculations!#REF!,"AAAAAGX/frY=")</f>
        <v>#REF!</v>
      </c>
      <c r="GB49" t="e">
        <f>AND(Calculations!#REF!,"AAAAAGX/frc=")</f>
        <v>#REF!</v>
      </c>
      <c r="GC49" t="e">
        <f>AND(Calculations!#REF!,"AAAAAGX/frg=")</f>
        <v>#REF!</v>
      </c>
      <c r="GD49" t="e">
        <f>AND(Calculations!#REF!,"AAAAAGX/frk=")</f>
        <v>#REF!</v>
      </c>
      <c r="GE49" t="e">
        <f>AND(Calculations!#REF!,"AAAAAGX/fro=")</f>
        <v>#REF!</v>
      </c>
      <c r="GF49" t="e">
        <f>AND(Calculations!#REF!,"AAAAAGX/frs=")</f>
        <v>#REF!</v>
      </c>
      <c r="GG49" t="e">
        <f>AND(Calculations!#REF!,"AAAAAGX/frw=")</f>
        <v>#REF!</v>
      </c>
      <c r="GH49" t="e">
        <f>AND(Calculations!#REF!,"AAAAAGX/fr0=")</f>
        <v>#REF!</v>
      </c>
      <c r="GI49" t="e">
        <f>AND(Calculations!#REF!,"AAAAAGX/fr4=")</f>
        <v>#REF!</v>
      </c>
      <c r="GJ49" t="e">
        <f>AND(Calculations!#REF!,"AAAAAGX/fr8=")</f>
        <v>#REF!</v>
      </c>
      <c r="GK49" t="e">
        <f>AND(Calculations!#REF!,"AAAAAGX/fsA=")</f>
        <v>#REF!</v>
      </c>
      <c r="GL49" t="e">
        <f>AND(Calculations!#REF!,"AAAAAGX/fsE=")</f>
        <v>#REF!</v>
      </c>
      <c r="GM49" t="e">
        <f>AND(Calculations!#REF!,"AAAAAGX/fsI=")</f>
        <v>#REF!</v>
      </c>
      <c r="GN49" t="e">
        <f>IF(Calculations!#REF!,"AAAAAGX/fsM=",0)</f>
        <v>#REF!</v>
      </c>
      <c r="GO49" t="e">
        <f>AND(Calculations!#REF!,"AAAAAGX/fsQ=")</f>
        <v>#REF!</v>
      </c>
      <c r="GP49" t="e">
        <f>AND(Calculations!#REF!,"AAAAAGX/fsU=")</f>
        <v>#REF!</v>
      </c>
      <c r="GQ49" t="e">
        <f>AND(Calculations!#REF!,"AAAAAGX/fsY=")</f>
        <v>#REF!</v>
      </c>
      <c r="GR49" t="e">
        <f>AND(Calculations!#REF!,"AAAAAGX/fsc=")</f>
        <v>#REF!</v>
      </c>
      <c r="GS49" t="e">
        <f>AND(Calculations!#REF!,"AAAAAGX/fsg=")</f>
        <v>#REF!</v>
      </c>
      <c r="GT49" t="e">
        <f>AND(Calculations!#REF!,"AAAAAGX/fsk=")</f>
        <v>#REF!</v>
      </c>
      <c r="GU49" t="e">
        <f>AND(Calculations!#REF!,"AAAAAGX/fso=")</f>
        <v>#REF!</v>
      </c>
      <c r="GV49" t="e">
        <f>AND(Calculations!#REF!,"AAAAAGX/fss=")</f>
        <v>#REF!</v>
      </c>
      <c r="GW49" t="e">
        <f>AND(Calculations!#REF!,"AAAAAGX/fsw=")</f>
        <v>#REF!</v>
      </c>
      <c r="GX49" t="e">
        <f>AND(Calculations!#REF!,"AAAAAGX/fs0=")</f>
        <v>#REF!</v>
      </c>
      <c r="GY49" t="e">
        <f>AND(Calculations!#REF!,"AAAAAGX/fs4=")</f>
        <v>#REF!</v>
      </c>
      <c r="GZ49" t="e">
        <f>AND(Calculations!#REF!,"AAAAAGX/fs8=")</f>
        <v>#REF!</v>
      </c>
      <c r="HA49" t="e">
        <f>AND(Calculations!#REF!,"AAAAAGX/ftA=")</f>
        <v>#REF!</v>
      </c>
      <c r="HB49" t="e">
        <f>AND(Calculations!#REF!,"AAAAAGX/ftE=")</f>
        <v>#REF!</v>
      </c>
      <c r="HC49" t="e">
        <f>AND(Calculations!#REF!,"AAAAAGX/ftI=")</f>
        <v>#REF!</v>
      </c>
      <c r="HD49" t="e">
        <f>AND(Calculations!#REF!,"AAAAAGX/ftM=")</f>
        <v>#REF!</v>
      </c>
      <c r="HE49" t="e">
        <f>AND(Calculations!#REF!,"AAAAAGX/ftQ=")</f>
        <v>#REF!</v>
      </c>
      <c r="HF49" t="e">
        <f>AND(Calculations!#REF!,"AAAAAGX/ftU=")</f>
        <v>#REF!</v>
      </c>
      <c r="HG49" t="e">
        <f>AND(Calculations!#REF!,"AAAAAGX/ftY=")</f>
        <v>#REF!</v>
      </c>
      <c r="HH49" t="e">
        <f>AND(Calculations!#REF!,"AAAAAGX/ftc=")</f>
        <v>#REF!</v>
      </c>
      <c r="HI49" t="e">
        <f>AND(Calculations!#REF!,"AAAAAGX/ftg=")</f>
        <v>#REF!</v>
      </c>
      <c r="HJ49" t="e">
        <f>AND(Calculations!#REF!,"AAAAAGX/ftk=")</f>
        <v>#REF!</v>
      </c>
      <c r="HK49" t="e">
        <f>AND(Calculations!#REF!,"AAAAAGX/fto=")</f>
        <v>#REF!</v>
      </c>
      <c r="HL49" t="e">
        <f>AND(Calculations!#REF!,"AAAAAGX/fts=")</f>
        <v>#REF!</v>
      </c>
      <c r="HM49" t="e">
        <f>AND(Calculations!#REF!,"AAAAAGX/ftw=")</f>
        <v>#REF!</v>
      </c>
      <c r="HN49" t="e">
        <f>IF(Calculations!#REF!,"AAAAAGX/ft0=",0)</f>
        <v>#REF!</v>
      </c>
      <c r="HO49" t="e">
        <f>AND(Calculations!#REF!,"AAAAAGX/ft4=")</f>
        <v>#REF!</v>
      </c>
      <c r="HP49" t="e">
        <f>AND(Calculations!#REF!,"AAAAAGX/ft8=")</f>
        <v>#REF!</v>
      </c>
      <c r="HQ49" t="e">
        <f>AND(Calculations!#REF!,"AAAAAGX/fuA=")</f>
        <v>#REF!</v>
      </c>
      <c r="HR49" t="e">
        <f>AND(Calculations!#REF!,"AAAAAGX/fuE=")</f>
        <v>#REF!</v>
      </c>
      <c r="HS49" t="e">
        <f>AND(Calculations!#REF!,"AAAAAGX/fuI=")</f>
        <v>#REF!</v>
      </c>
      <c r="HT49" t="e">
        <f>AND(Calculations!#REF!,"AAAAAGX/fuM=")</f>
        <v>#REF!</v>
      </c>
      <c r="HU49" t="e">
        <f>AND(Calculations!#REF!,"AAAAAGX/fuQ=")</f>
        <v>#REF!</v>
      </c>
      <c r="HV49" t="e">
        <f>AND(Calculations!#REF!,"AAAAAGX/fuU=")</f>
        <v>#REF!</v>
      </c>
      <c r="HW49" t="e">
        <f>AND(Calculations!#REF!,"AAAAAGX/fuY=")</f>
        <v>#REF!</v>
      </c>
      <c r="HX49" t="e">
        <f>AND(Calculations!#REF!,"AAAAAGX/fuc=")</f>
        <v>#REF!</v>
      </c>
      <c r="HY49" t="e">
        <f>AND(Calculations!#REF!,"AAAAAGX/fug=")</f>
        <v>#REF!</v>
      </c>
      <c r="HZ49" t="e">
        <f>AND(Calculations!#REF!,"AAAAAGX/fuk=")</f>
        <v>#REF!</v>
      </c>
      <c r="IA49" t="e">
        <f>AND(Calculations!#REF!,"AAAAAGX/fuo=")</f>
        <v>#REF!</v>
      </c>
      <c r="IB49" t="e">
        <f>AND(Calculations!#REF!,"AAAAAGX/fus=")</f>
        <v>#REF!</v>
      </c>
      <c r="IC49" t="e">
        <f>AND(Calculations!#REF!,"AAAAAGX/fuw=")</f>
        <v>#REF!</v>
      </c>
      <c r="ID49" t="e">
        <f>AND(Calculations!#REF!,"AAAAAGX/fu0=")</f>
        <v>#REF!</v>
      </c>
      <c r="IE49" t="e">
        <f>AND(Calculations!#REF!,"AAAAAGX/fu4=")</f>
        <v>#REF!</v>
      </c>
      <c r="IF49" t="e">
        <f>AND(Calculations!#REF!,"AAAAAGX/fu8=")</f>
        <v>#REF!</v>
      </c>
      <c r="IG49" t="e">
        <f>AND(Calculations!#REF!,"AAAAAGX/fvA=")</f>
        <v>#REF!</v>
      </c>
      <c r="IH49" t="e">
        <f>AND(Calculations!#REF!,"AAAAAGX/fvE=")</f>
        <v>#REF!</v>
      </c>
      <c r="II49" t="e">
        <f>AND(Calculations!#REF!,"AAAAAGX/fvI=")</f>
        <v>#REF!</v>
      </c>
      <c r="IJ49" t="e">
        <f>AND(Calculations!#REF!,"AAAAAGX/fvM=")</f>
        <v>#REF!</v>
      </c>
      <c r="IK49" t="e">
        <f>AND(Calculations!#REF!,"AAAAAGX/fvQ=")</f>
        <v>#REF!</v>
      </c>
      <c r="IL49" t="e">
        <f>AND(Calculations!#REF!,"AAAAAGX/fvU=")</f>
        <v>#REF!</v>
      </c>
      <c r="IM49" t="e">
        <f>AND(Calculations!#REF!,"AAAAAGX/fvY=")</f>
        <v>#REF!</v>
      </c>
      <c r="IN49" t="e">
        <f>IF(Calculations!#REF!,"AAAAAGX/fvc=",0)</f>
        <v>#REF!</v>
      </c>
      <c r="IO49" t="e">
        <f>AND(Calculations!#REF!,"AAAAAGX/fvg=")</f>
        <v>#REF!</v>
      </c>
      <c r="IP49" t="e">
        <f>AND(Calculations!#REF!,"AAAAAGX/fvk=")</f>
        <v>#REF!</v>
      </c>
      <c r="IQ49" t="e">
        <f>AND(Calculations!#REF!,"AAAAAGX/fvo=")</f>
        <v>#REF!</v>
      </c>
      <c r="IR49" t="e">
        <f>AND(Calculations!#REF!,"AAAAAGX/fvs=")</f>
        <v>#REF!</v>
      </c>
      <c r="IS49" t="e">
        <f>AND(Calculations!#REF!,"AAAAAGX/fvw=")</f>
        <v>#REF!</v>
      </c>
      <c r="IT49" t="e">
        <f>AND(Calculations!#REF!,"AAAAAGX/fv0=")</f>
        <v>#REF!</v>
      </c>
      <c r="IU49" t="e">
        <f>AND(Calculations!#REF!,"AAAAAGX/fv4=")</f>
        <v>#REF!</v>
      </c>
      <c r="IV49" t="e">
        <f>AND(Calculations!#REF!,"AAAAAGX/fv8=")</f>
        <v>#REF!</v>
      </c>
    </row>
    <row r="50" spans="1:256">
      <c r="A50" t="e">
        <f>AND(Calculations!#REF!,"AAAAAH/frgA=")</f>
        <v>#REF!</v>
      </c>
      <c r="B50" t="e">
        <f>AND(Calculations!#REF!,"AAAAAH/frgE=")</f>
        <v>#REF!</v>
      </c>
      <c r="C50" t="e">
        <f>AND(Calculations!#REF!,"AAAAAH/frgI=")</f>
        <v>#REF!</v>
      </c>
      <c r="D50" t="e">
        <f>AND(Calculations!#REF!,"AAAAAH/frgM=")</f>
        <v>#REF!</v>
      </c>
      <c r="E50" t="e">
        <f>AND(Calculations!#REF!,"AAAAAH/frgQ=")</f>
        <v>#REF!</v>
      </c>
      <c r="F50" t="e">
        <f>AND(Calculations!#REF!,"AAAAAH/frgU=")</f>
        <v>#REF!</v>
      </c>
      <c r="G50" t="e">
        <f>AND(Calculations!#REF!,"AAAAAH/frgY=")</f>
        <v>#REF!</v>
      </c>
      <c r="H50" t="e">
        <f>AND(Calculations!#REF!,"AAAAAH/frgc=")</f>
        <v>#REF!</v>
      </c>
      <c r="I50" t="e">
        <f>AND(Calculations!#REF!,"AAAAAH/frgg=")</f>
        <v>#REF!</v>
      </c>
      <c r="J50" t="e">
        <f>AND(Calculations!#REF!,"AAAAAH/frgk=")</f>
        <v>#REF!</v>
      </c>
      <c r="K50" t="e">
        <f>AND(Calculations!#REF!,"AAAAAH/frgo=")</f>
        <v>#REF!</v>
      </c>
      <c r="L50" t="e">
        <f>AND(Calculations!#REF!,"AAAAAH/frgs=")</f>
        <v>#REF!</v>
      </c>
      <c r="M50" t="e">
        <f>AND(Calculations!#REF!,"AAAAAH/frgw=")</f>
        <v>#REF!</v>
      </c>
      <c r="N50" t="e">
        <f>AND(Calculations!#REF!,"AAAAAH/frg0=")</f>
        <v>#REF!</v>
      </c>
      <c r="O50" t="e">
        <f>AND(Calculations!#REF!,"AAAAAH/frg4=")</f>
        <v>#REF!</v>
      </c>
      <c r="P50" t="e">
        <f>AND(Calculations!#REF!,"AAAAAH/frg8=")</f>
        <v>#REF!</v>
      </c>
      <c r="Q50" t="e">
        <f>AND(Calculations!#REF!,"AAAAAH/frhA=")</f>
        <v>#REF!</v>
      </c>
      <c r="R50" t="e">
        <f>IF(Calculations!#REF!,"AAAAAH/frhE=",0)</f>
        <v>#REF!</v>
      </c>
      <c r="S50" t="e">
        <f>AND(Calculations!#REF!,"AAAAAH/frhI=")</f>
        <v>#REF!</v>
      </c>
      <c r="T50" t="e">
        <f>AND(Calculations!#REF!,"AAAAAH/frhM=")</f>
        <v>#REF!</v>
      </c>
      <c r="U50" t="e">
        <f>AND(Calculations!#REF!,"AAAAAH/frhQ=")</f>
        <v>#REF!</v>
      </c>
      <c r="V50" t="e">
        <f>AND(Calculations!#REF!,"AAAAAH/frhU=")</f>
        <v>#REF!</v>
      </c>
      <c r="W50" t="e">
        <f>AND(Calculations!#REF!,"AAAAAH/frhY=")</f>
        <v>#REF!</v>
      </c>
      <c r="X50" t="e">
        <f>AND(Calculations!#REF!,"AAAAAH/frhc=")</f>
        <v>#REF!</v>
      </c>
      <c r="Y50" t="e">
        <f>AND(Calculations!#REF!,"AAAAAH/frhg=")</f>
        <v>#REF!</v>
      </c>
      <c r="Z50" t="e">
        <f>AND(Calculations!#REF!,"AAAAAH/frhk=")</f>
        <v>#REF!</v>
      </c>
      <c r="AA50" t="e">
        <f>AND(Calculations!#REF!,"AAAAAH/frho=")</f>
        <v>#REF!</v>
      </c>
      <c r="AB50" t="e">
        <f>AND(Calculations!#REF!,"AAAAAH/frhs=")</f>
        <v>#REF!</v>
      </c>
      <c r="AC50" t="e">
        <f>AND(Calculations!#REF!,"AAAAAH/frhw=")</f>
        <v>#REF!</v>
      </c>
      <c r="AD50" t="e">
        <f>AND(Calculations!#REF!,"AAAAAH/frh0=")</f>
        <v>#REF!</v>
      </c>
      <c r="AE50" t="e">
        <f>AND(Calculations!#REF!,"AAAAAH/frh4=")</f>
        <v>#REF!</v>
      </c>
      <c r="AF50" t="e">
        <f>AND(Calculations!#REF!,"AAAAAH/frh8=")</f>
        <v>#REF!</v>
      </c>
      <c r="AG50" t="e">
        <f>AND(Calculations!#REF!,"AAAAAH/friA=")</f>
        <v>#REF!</v>
      </c>
      <c r="AH50" t="e">
        <f>AND(Calculations!#REF!,"AAAAAH/friE=")</f>
        <v>#REF!</v>
      </c>
      <c r="AI50" t="e">
        <f>AND(Calculations!#REF!,"AAAAAH/friI=")</f>
        <v>#REF!</v>
      </c>
      <c r="AJ50" t="e">
        <f>AND(Calculations!#REF!,"AAAAAH/friM=")</f>
        <v>#REF!</v>
      </c>
      <c r="AK50" t="e">
        <f>AND(Calculations!#REF!,"AAAAAH/friQ=")</f>
        <v>#REF!</v>
      </c>
      <c r="AL50" t="e">
        <f>AND(Calculations!#REF!,"AAAAAH/friU=")</f>
        <v>#REF!</v>
      </c>
      <c r="AM50" t="e">
        <f>AND(Calculations!#REF!,"AAAAAH/friY=")</f>
        <v>#REF!</v>
      </c>
      <c r="AN50" t="e">
        <f>AND(Calculations!#REF!,"AAAAAH/fric=")</f>
        <v>#REF!</v>
      </c>
      <c r="AO50" t="e">
        <f>AND(Calculations!#REF!,"AAAAAH/frig=")</f>
        <v>#REF!</v>
      </c>
      <c r="AP50" t="e">
        <f>AND(Calculations!#REF!,"AAAAAH/frik=")</f>
        <v>#REF!</v>
      </c>
      <c r="AQ50" t="e">
        <f>AND(Calculations!#REF!,"AAAAAH/frio=")</f>
        <v>#REF!</v>
      </c>
      <c r="AR50" t="e">
        <f>IF(Calculations!#REF!,"AAAAAH/fris=",0)</f>
        <v>#REF!</v>
      </c>
      <c r="AS50" t="e">
        <f>AND(Calculations!#REF!,"AAAAAH/friw=")</f>
        <v>#REF!</v>
      </c>
      <c r="AT50" t="e">
        <f>AND(Calculations!#REF!,"AAAAAH/fri0=")</f>
        <v>#REF!</v>
      </c>
      <c r="AU50" t="e">
        <f>AND(Calculations!#REF!,"AAAAAH/fri4=")</f>
        <v>#REF!</v>
      </c>
      <c r="AV50" t="e">
        <f>AND(Calculations!#REF!,"AAAAAH/fri8=")</f>
        <v>#REF!</v>
      </c>
      <c r="AW50" t="e">
        <f>AND(Calculations!#REF!,"AAAAAH/frjA=")</f>
        <v>#REF!</v>
      </c>
      <c r="AX50" t="e">
        <f>AND(Calculations!#REF!,"AAAAAH/frjE=")</f>
        <v>#REF!</v>
      </c>
      <c r="AY50" t="e">
        <f>AND(Calculations!#REF!,"AAAAAH/frjI=")</f>
        <v>#REF!</v>
      </c>
      <c r="AZ50" t="e">
        <f>AND(Calculations!#REF!,"AAAAAH/frjM=")</f>
        <v>#REF!</v>
      </c>
      <c r="BA50" t="e">
        <f>AND(Calculations!#REF!,"AAAAAH/frjQ=")</f>
        <v>#REF!</v>
      </c>
      <c r="BB50" t="e">
        <f>AND(Calculations!#REF!,"AAAAAH/frjU=")</f>
        <v>#REF!</v>
      </c>
      <c r="BC50" t="e">
        <f>AND(Calculations!#REF!,"AAAAAH/frjY=")</f>
        <v>#REF!</v>
      </c>
      <c r="BD50" t="e">
        <f>AND(Calculations!#REF!,"AAAAAH/frjc=")</f>
        <v>#REF!</v>
      </c>
      <c r="BE50" t="e">
        <f>AND(Calculations!#REF!,"AAAAAH/frjg=")</f>
        <v>#REF!</v>
      </c>
      <c r="BF50" t="e">
        <f>AND(Calculations!#REF!,"AAAAAH/frjk=")</f>
        <v>#REF!</v>
      </c>
      <c r="BG50" t="e">
        <f>AND(Calculations!#REF!,"AAAAAH/frjo=")</f>
        <v>#REF!</v>
      </c>
      <c r="BH50" t="e">
        <f>AND(Calculations!#REF!,"AAAAAH/frjs=")</f>
        <v>#REF!</v>
      </c>
      <c r="BI50" t="e">
        <f>AND(Calculations!#REF!,"AAAAAH/frjw=")</f>
        <v>#REF!</v>
      </c>
      <c r="BJ50" t="e">
        <f>AND(Calculations!#REF!,"AAAAAH/frj0=")</f>
        <v>#REF!</v>
      </c>
      <c r="BK50" t="e">
        <f>AND(Calculations!#REF!,"AAAAAH/frj4=")</f>
        <v>#REF!</v>
      </c>
      <c r="BL50" t="e">
        <f>AND(Calculations!#REF!,"AAAAAH/frj8=")</f>
        <v>#REF!</v>
      </c>
      <c r="BM50" t="e">
        <f>AND(Calculations!#REF!,"AAAAAH/frkA=")</f>
        <v>#REF!</v>
      </c>
      <c r="BN50" t="e">
        <f>AND(Calculations!#REF!,"AAAAAH/frkE=")</f>
        <v>#REF!</v>
      </c>
      <c r="BO50" t="e">
        <f>AND(Calculations!#REF!,"AAAAAH/frkI=")</f>
        <v>#REF!</v>
      </c>
      <c r="BP50" t="e">
        <f>AND(Calculations!#REF!,"AAAAAH/frkM=")</f>
        <v>#REF!</v>
      </c>
      <c r="BQ50" t="e">
        <f>AND(Calculations!#REF!,"AAAAAH/frkQ=")</f>
        <v>#REF!</v>
      </c>
      <c r="BR50" t="e">
        <f>IF(Calculations!#REF!,"AAAAAH/frkU=",0)</f>
        <v>#REF!</v>
      </c>
      <c r="BS50" t="e">
        <f>AND(Calculations!#REF!,"AAAAAH/frkY=")</f>
        <v>#REF!</v>
      </c>
      <c r="BT50" t="e">
        <f>AND(Calculations!#REF!,"AAAAAH/frkc=")</f>
        <v>#REF!</v>
      </c>
      <c r="BU50" t="e">
        <f>AND(Calculations!#REF!,"AAAAAH/frkg=")</f>
        <v>#REF!</v>
      </c>
      <c r="BV50" t="e">
        <f>AND(Calculations!#REF!,"AAAAAH/frkk=")</f>
        <v>#REF!</v>
      </c>
      <c r="BW50" t="e">
        <f>AND(Calculations!#REF!,"AAAAAH/frko=")</f>
        <v>#REF!</v>
      </c>
      <c r="BX50" t="e">
        <f>AND(Calculations!#REF!,"AAAAAH/frks=")</f>
        <v>#REF!</v>
      </c>
      <c r="BY50" t="e">
        <f>AND(Calculations!#REF!,"AAAAAH/frkw=")</f>
        <v>#REF!</v>
      </c>
      <c r="BZ50" t="e">
        <f>AND(Calculations!#REF!,"AAAAAH/frk0=")</f>
        <v>#REF!</v>
      </c>
      <c r="CA50" t="e">
        <f>AND(Calculations!#REF!,"AAAAAH/frk4=")</f>
        <v>#REF!</v>
      </c>
      <c r="CB50" t="e">
        <f>AND(Calculations!#REF!,"AAAAAH/frk8=")</f>
        <v>#REF!</v>
      </c>
      <c r="CC50" t="e">
        <f>AND(Calculations!#REF!,"AAAAAH/frlA=")</f>
        <v>#REF!</v>
      </c>
      <c r="CD50" t="e">
        <f>AND(Calculations!#REF!,"AAAAAH/frlE=")</f>
        <v>#REF!</v>
      </c>
      <c r="CE50" t="e">
        <f>AND(Calculations!#REF!,"AAAAAH/frlI=")</f>
        <v>#REF!</v>
      </c>
      <c r="CF50" t="e">
        <f>AND(Calculations!#REF!,"AAAAAH/frlM=")</f>
        <v>#REF!</v>
      </c>
      <c r="CG50" t="e">
        <f>AND(Calculations!#REF!,"AAAAAH/frlQ=")</f>
        <v>#REF!</v>
      </c>
      <c r="CH50" t="e">
        <f>AND(Calculations!#REF!,"AAAAAH/frlU=")</f>
        <v>#REF!</v>
      </c>
      <c r="CI50" t="e">
        <f>AND(Calculations!#REF!,"AAAAAH/frlY=")</f>
        <v>#REF!</v>
      </c>
      <c r="CJ50" t="e">
        <f>AND(Calculations!#REF!,"AAAAAH/frlc=")</f>
        <v>#REF!</v>
      </c>
      <c r="CK50" t="e">
        <f>AND(Calculations!#REF!,"AAAAAH/frlg=")</f>
        <v>#REF!</v>
      </c>
      <c r="CL50" t="e">
        <f>AND(Calculations!#REF!,"AAAAAH/frlk=")</f>
        <v>#REF!</v>
      </c>
      <c r="CM50" t="e">
        <f>AND(Calculations!#REF!,"AAAAAH/frlo=")</f>
        <v>#REF!</v>
      </c>
      <c r="CN50" t="e">
        <f>AND(Calculations!#REF!,"AAAAAH/frls=")</f>
        <v>#REF!</v>
      </c>
      <c r="CO50" t="e">
        <f>AND(Calculations!#REF!,"AAAAAH/frlw=")</f>
        <v>#REF!</v>
      </c>
      <c r="CP50" t="e">
        <f>AND(Calculations!#REF!,"AAAAAH/frl0=")</f>
        <v>#REF!</v>
      </c>
      <c r="CQ50" t="e">
        <f>AND(Calculations!#REF!,"AAAAAH/frl4=")</f>
        <v>#REF!</v>
      </c>
      <c r="CR50" t="e">
        <f>IF(Calculations!#REF!,"AAAAAH/frl8=",0)</f>
        <v>#REF!</v>
      </c>
      <c r="CS50" t="e">
        <f>AND(Calculations!#REF!,"AAAAAH/frmA=")</f>
        <v>#REF!</v>
      </c>
      <c r="CT50" t="e">
        <f>AND(Calculations!#REF!,"AAAAAH/frmE=")</f>
        <v>#REF!</v>
      </c>
      <c r="CU50" t="e">
        <f>AND(Calculations!#REF!,"AAAAAH/frmI=")</f>
        <v>#REF!</v>
      </c>
      <c r="CV50" t="e">
        <f>AND(Calculations!#REF!,"AAAAAH/frmM=")</f>
        <v>#REF!</v>
      </c>
      <c r="CW50" t="e">
        <f>AND(Calculations!#REF!,"AAAAAH/frmQ=")</f>
        <v>#REF!</v>
      </c>
      <c r="CX50" t="e">
        <f>AND(Calculations!#REF!,"AAAAAH/frmU=")</f>
        <v>#REF!</v>
      </c>
      <c r="CY50" t="e">
        <f>AND(Calculations!#REF!,"AAAAAH/frmY=")</f>
        <v>#REF!</v>
      </c>
      <c r="CZ50" t="e">
        <f>AND(Calculations!#REF!,"AAAAAH/frmc=")</f>
        <v>#REF!</v>
      </c>
      <c r="DA50" t="e">
        <f>AND(Calculations!#REF!,"AAAAAH/frmg=")</f>
        <v>#REF!</v>
      </c>
      <c r="DB50" t="e">
        <f>AND(Calculations!#REF!,"AAAAAH/frmk=")</f>
        <v>#REF!</v>
      </c>
      <c r="DC50" t="e">
        <f>AND(Calculations!#REF!,"AAAAAH/frmo=")</f>
        <v>#REF!</v>
      </c>
      <c r="DD50" t="e">
        <f>AND(Calculations!#REF!,"AAAAAH/frms=")</f>
        <v>#REF!</v>
      </c>
      <c r="DE50" t="e">
        <f>AND(Calculations!#REF!,"AAAAAH/frmw=")</f>
        <v>#REF!</v>
      </c>
      <c r="DF50" t="e">
        <f>AND(Calculations!#REF!,"AAAAAH/frm0=")</f>
        <v>#REF!</v>
      </c>
      <c r="DG50" t="e">
        <f>AND(Calculations!#REF!,"AAAAAH/frm4=")</f>
        <v>#REF!</v>
      </c>
      <c r="DH50" t="e">
        <f>AND(Calculations!#REF!,"AAAAAH/frm8=")</f>
        <v>#REF!</v>
      </c>
      <c r="DI50" t="e">
        <f>AND(Calculations!#REF!,"AAAAAH/frnA=")</f>
        <v>#REF!</v>
      </c>
      <c r="DJ50" t="e">
        <f>AND(Calculations!#REF!,"AAAAAH/frnE=")</f>
        <v>#REF!</v>
      </c>
      <c r="DK50" t="e">
        <f>AND(Calculations!#REF!,"AAAAAH/frnI=")</f>
        <v>#REF!</v>
      </c>
      <c r="DL50" t="e">
        <f>AND(Calculations!#REF!,"AAAAAH/frnM=")</f>
        <v>#REF!</v>
      </c>
      <c r="DM50" t="e">
        <f>AND(Calculations!#REF!,"AAAAAH/frnQ=")</f>
        <v>#REF!</v>
      </c>
      <c r="DN50" t="e">
        <f>AND(Calculations!#REF!,"AAAAAH/frnU=")</f>
        <v>#REF!</v>
      </c>
      <c r="DO50" t="e">
        <f>AND(Calculations!#REF!,"AAAAAH/frnY=")</f>
        <v>#REF!</v>
      </c>
      <c r="DP50" t="e">
        <f>AND(Calculations!#REF!,"AAAAAH/frnc=")</f>
        <v>#REF!</v>
      </c>
      <c r="DQ50" t="e">
        <f>AND(Calculations!#REF!,"AAAAAH/frng=")</f>
        <v>#REF!</v>
      </c>
      <c r="DR50" t="e">
        <f>IF(Calculations!#REF!,"AAAAAH/frnk=",0)</f>
        <v>#REF!</v>
      </c>
      <c r="DS50" t="e">
        <f>IF(Calculations!#REF!,"AAAAAH/frno=",0)</f>
        <v>#REF!</v>
      </c>
      <c r="DT50" t="e">
        <f>IF(Calculations!#REF!,"AAAAAH/frns=",0)</f>
        <v>#REF!</v>
      </c>
      <c r="DU50">
        <f>IF(Calculations!A:A,"AAAAAH/frnw=",0)</f>
        <v>0</v>
      </c>
      <c r="DV50">
        <f>IF(Calculations!B:B,"AAAAAH/frn0=",0)</f>
        <v>0</v>
      </c>
      <c r="DW50">
        <f>IF(Calculations!C:C,"AAAAAH/frn4=",0)</f>
        <v>0</v>
      </c>
      <c r="DX50">
        <f>IF(Calculations!D:D,"AAAAAH/frn8=",0)</f>
        <v>0</v>
      </c>
      <c r="DY50">
        <f>IF(Calculations!E:E,"AAAAAH/froA=",0)</f>
        <v>0</v>
      </c>
      <c r="DZ50">
        <f>IF(Calculations!F:F,"AAAAAH/froE=",0)</f>
        <v>0</v>
      </c>
      <c r="EA50">
        <f>IF(Calculations!G:G,"AAAAAH/froI=",0)</f>
        <v>0</v>
      </c>
      <c r="EB50">
        <f>IF(Calculations!H:H,"AAAAAH/froM=",0)</f>
        <v>0</v>
      </c>
      <c r="EC50">
        <f>IF(Calculations!I:I,"AAAAAH/froQ=",0)</f>
        <v>0</v>
      </c>
      <c r="ED50">
        <f>IF(Calculations!J:J,"AAAAAH/froU=",0)</f>
        <v>0</v>
      </c>
      <c r="EE50">
        <f>IF(Calculations!K:K,"AAAAAH/froY=",0)</f>
        <v>0</v>
      </c>
      <c r="EF50">
        <f>IF(Calculations!L:L,"AAAAAH/froc=",0)</f>
        <v>0</v>
      </c>
      <c r="EG50">
        <f>IF(Calculations!M:M,"AAAAAH/frog=",0)</f>
        <v>0</v>
      </c>
      <c r="EH50">
        <f>IF(Calculations!N:N,"AAAAAH/frok=",0)</f>
        <v>0</v>
      </c>
      <c r="EI50">
        <f>IF(Calculations!O:O,"AAAAAH/froo=",0)</f>
        <v>0</v>
      </c>
      <c r="EJ50">
        <f>IF(Calculations!P:P,"AAAAAH/fros=",0)</f>
        <v>0</v>
      </c>
      <c r="EK50">
        <f>IF(Calculations!Q:Q,"AAAAAH/frow=",0)</f>
        <v>0</v>
      </c>
      <c r="EL50">
        <f>IF(Calculations!R:R,"AAAAAH/fro0=",0)</f>
        <v>0</v>
      </c>
      <c r="EM50">
        <f>IF(Calculations!S:S,"AAAAAH/fro4=",0)</f>
        <v>0</v>
      </c>
      <c r="EN50">
        <f>IF(Calculations!T:T,"AAAAAH/fro8=",0)</f>
        <v>0</v>
      </c>
      <c r="EO50">
        <f>IF(Calculations!U:U,"AAAAAH/frpA=",0)</f>
        <v>0</v>
      </c>
      <c r="EP50">
        <f>IF(Calculations!V:V,"AAAAAH/frpE=",0)</f>
        <v>0</v>
      </c>
      <c r="EQ50">
        <f>IF(Calculations!W:W,"AAAAAH/frpI=",0)</f>
        <v>0</v>
      </c>
      <c r="ER50">
        <f>IF(Calculations!X:X,"AAAAAH/frpM=",0)</f>
        <v>0</v>
      </c>
      <c r="ES50">
        <f>IF(Calculations!Y:Y,"AAAAAH/frpQ=",0)</f>
        <v>0</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1</v>
      </c>
      <c r="GN94" t="e">
        <f>IF("N",[0]!_xlnm.Print_Area,"AAAAAH/l/sM=")</f>
        <v>#VALUE!</v>
      </c>
      <c r="GO94" t="e">
        <f>IF("N",[0]!_xlnm.Print_Area,"AAAAAH/l/sQ=")</f>
        <v>#VALUE!</v>
      </c>
      <c r="GP94" t="e">
        <f>IF("N",Calculations!_xlnm.Print_Area,"AAAAAH/l/sU=")</f>
        <v>#VALUE!</v>
      </c>
      <c r="GQ94" t="e">
        <f>IF("N",[0]!_xlnm.Print_Area,"AAAAAH/l/sY=")</f>
        <v>#VALUE!</v>
      </c>
      <c r="GR94" t="e">
        <f>IF("N",[0]!_xlnm.Print_Area,"AAAAAH/l/sc=")</f>
        <v>#VALUE!</v>
      </c>
      <c r="GS94" t="e">
        <f>IF("N",[0]!_xlnm.Print_Area,"AAAAAH/l/sg=")</f>
        <v>#VALUE!</v>
      </c>
      <c r="GT94" t="e">
        <f>IF("N",Inputs!_xlnm.Print_Area,"AAAAAH/l/sk=")</f>
        <v>#VALUE!</v>
      </c>
      <c r="GU94" t="e">
        <f>IF("N",[0]!_xlnm.Print_Area,"AAAAAH/l/so=")</f>
        <v>#VALUE!</v>
      </c>
      <c r="GV94" t="e">
        <f>IF("N",[0]!_xlnm.Print_Area,"AAAAAH/l/ss=")</f>
        <v>#VALUE!</v>
      </c>
      <c r="GW94" t="e">
        <f>IF("N",[0]!_xlnm.Print_Area,"AAAAAH/l/sw=")</f>
        <v>#VALUE!</v>
      </c>
      <c r="GX94" t="e">
        <f>IF("N",[0]!_xlnm.Print_Area,"AAAAAH/l/s0=")</f>
        <v>#VALUE!</v>
      </c>
      <c r="GY94" t="e">
        <f>IF("N",[0]!_xlnm.Print_Area,"AAAAAH/l/s4=")</f>
        <v>#VALUE!</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Language xmlns="http://schemas.microsoft.com/sharepoint/v3">English</Language>
    <Document_x0020_Creation_x0020_Date xmlns="4ffa91fb-a0ff-4ac5-b2db-65c790d184a4">2014-11-20T18:42:57+00:00</Document_x0020_Creation_x0020_Date>
    <EPA_x0020_Related_x0020_Documents xmlns="4ffa91fb-a0ff-4ac5-b2db-65c790d184a4" xsi:nil="true"/>
    <j747ac98061d40f0aa7bd47e1db5675d xmlns="4ffa91fb-a0ff-4ac5-b2db-65c790d184a4">
      <Terms xmlns="http://schemas.microsoft.com/office/infopath/2007/PartnerControls"/>
    </j747ac98061d40f0aa7bd47e1db5675d>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CatchAll xmlns="4ffa91fb-a0ff-4ac5-b2db-65c790d184a4"/>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Creator xmlns="4ffa91fb-a0ff-4ac5-b2db-65c790d184a4">
      <UserInfo>
        <DisplayName/>
        <AccountId xsi:nil="true"/>
        <AccountType/>
      </UserInfo>
    </Crea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3C5759576ED84DB9151A5871DF9DE1" ma:contentTypeVersion="18" ma:contentTypeDescription="Create a new document." ma:contentTypeScope="" ma:versionID="29695dca10846b5487f9c4c66d29723b">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50d72e6c-d395-4887-b8d1-0a008e0da19f" targetNamespace="http://schemas.microsoft.com/office/2006/metadata/properties" ma:root="true" ma:fieldsID="20938d556f51ab5dc6f76fe082d9c07f" ns1:_="" ns3:_="" ns4:_="" ns5:_="" ns6:_="">
    <xsd:import namespace="http://schemas.microsoft.com/sharepoint/v3"/>
    <xsd:import namespace="4ffa91fb-a0ff-4ac5-b2db-65c790d184a4"/>
    <xsd:import namespace="http://schemas.microsoft.com/sharepoint.v3"/>
    <xsd:import namespace="http://schemas.microsoft.com/sharepoint/v3/fields"/>
    <xsd:import namespace="50d72e6c-d395-4887-b8d1-0a008e0da19f"/>
    <xsd:element name="properties">
      <xsd:complexType>
        <xsd:sequence>
          <xsd:element name="documentManagement">
            <xsd:complexType>
              <xsd:all>
                <xsd:element ref="ns3:Document_x0020_Creation_x0020_Date" minOccurs="0"/>
                <xsd:element ref="ns3:Creator" minOccurs="0"/>
                <xsd:element ref="ns3:EPA_x0020_Office" minOccurs="0"/>
                <xsd:element ref="ns3:Record"/>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93223e-1350-4ffd-a51d-a02750f92ecb}" ma:internalName="TaxCatchAllLabel" ma:readOnly="true" ma:showField="CatchAllDataLabel" ma:web="50d72e6c-d395-4887-b8d1-0a008e0da19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93223e-1350-4ffd-a51d-a02750f92ecb}" ma:internalName="TaxCatchAll" ma:showField="CatchAllData" ma:web="50d72e6c-d395-4887-b8d1-0a008e0da1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72e6c-d395-4887-b8d1-0a008e0da19f"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FCC98848-4D4A-4FD0-8AC8-41928CA2CD67}">
  <ds:schemaRefs>
    <ds:schemaRef ds:uri="http://schemas.microsoft.com/sharepoint/v3/contenttype/forms"/>
  </ds:schemaRefs>
</ds:datastoreItem>
</file>

<file path=customXml/itemProps2.xml><?xml version="1.0" encoding="utf-8"?>
<ds:datastoreItem xmlns:ds="http://schemas.openxmlformats.org/officeDocument/2006/customXml" ds:itemID="{DFCDB760-FCD9-4476-B33D-E119908948EF}">
  <ds:schemaRefs>
    <ds:schemaRef ds:uri="http://schemas.microsoft.com/sharepoint/v3/fields"/>
    <ds:schemaRef ds:uri="http://purl.org/dc/elements/1.1/"/>
    <ds:schemaRef ds:uri="http://schemas.microsoft.com/sharepoint/v3"/>
    <ds:schemaRef ds:uri="http://schemas.microsoft.com/office/2006/documentManagement/types"/>
    <ds:schemaRef ds:uri="4ffa91fb-a0ff-4ac5-b2db-65c790d184a4"/>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metadata/properties"/>
    <ds:schemaRef ds:uri="50d72e6c-d395-4887-b8d1-0a008e0da19f"/>
    <ds:schemaRef ds:uri="http://schemas.microsoft.com/sharepoint.v3"/>
    <ds:schemaRef ds:uri="http://purl.org/dc/terms/"/>
  </ds:schemaRefs>
</ds:datastoreItem>
</file>

<file path=customXml/itemProps3.xml><?xml version="1.0" encoding="utf-8"?>
<ds:datastoreItem xmlns:ds="http://schemas.openxmlformats.org/officeDocument/2006/customXml" ds:itemID="{2F2356B0-AAE6-4756-8169-3C22EB5738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0d72e6c-d395-4887-b8d1-0a008e0da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82124D-A8B8-4928-B065-A8C77DD6BEC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Inputs</vt:lpstr>
      <vt:lpstr>Output</vt:lpstr>
      <vt:lpstr>Calculations</vt:lpstr>
      <vt:lpstr>Revisions</vt:lpstr>
      <vt:lpstr>Calculations!Print_Area</vt:lpstr>
      <vt:lpstr>Inputs!Print_Area</vt:lpstr>
      <vt:lpstr>Output!Print_Area</vt:lpstr>
    </vt:vector>
  </TitlesOfParts>
  <Company>SC DHEC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Valladolid, Catherine (she/her/hers)</cp:lastModifiedBy>
  <cp:lastPrinted>2011-05-17T15:06:53Z</cp:lastPrinted>
  <dcterms:created xsi:type="dcterms:W3CDTF">2007-09-11T16:38:45Z</dcterms:created>
  <dcterms:modified xsi:type="dcterms:W3CDTF">2024-05-08T17:33:15Z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y fmtid="{D5CDD505-2E9C-101B-9397-08002B2CF9AE}" pid="7" name="IsMyDocuments">
    <vt:bool>true</vt:bool>
  </property>
  <property fmtid="{D5CDD505-2E9C-101B-9397-08002B2CF9AE}" pid="8" name="TaxKeyword">
    <vt:lpwstr/>
  </property>
  <property fmtid="{D5CDD505-2E9C-101B-9397-08002B2CF9AE}" pid="9" name="ContentTypeId">
    <vt:lpwstr>0x010100633C5759576ED84DB9151A5871DF9DE1</vt:lpwstr>
  </property>
</Properties>
</file>